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wnloads\Шаблоны для новичков 2023\"/>
    </mc:Choice>
  </mc:AlternateContent>
  <xr:revisionPtr revIDLastSave="0" documentId="13_ncr:1_{8C9BAFBD-C1C4-466B-8687-515CA71DC822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Параметры ПФ" sheetId="7" r:id="rId1"/>
    <sheet name="Стандартные программы" sheetId="5" r:id="rId2"/>
    <sheet name="Дистанционные программы" sheetId="8" r:id="rId3"/>
    <sheet name="Очно-заочные программы" sheetId="9" r:id="rId4"/>
    <sheet name="Адаптированные программы" sheetId="10" r:id="rId5"/>
    <sheet name="Общеразвив.программы на МЗ" sheetId="12" r:id="rId6"/>
    <sheet name="Затраты на содержание УДО" sheetId="13" r:id="rId7"/>
  </sheets>
  <externalReferences>
    <externalReference r:id="rId8"/>
  </externalReferences>
  <definedNames>
    <definedName name="_xlnm._FilterDatabase" localSheetId="5" hidden="1">'Общеразвив.программы на МЗ'!$A$1:$J$25</definedName>
    <definedName name="_xlnm._FilterDatabase" localSheetId="1" hidden="1">'Стандартные программы'!$A$1:$N$25</definedName>
    <definedName name="_xlnm.Print_Titles" localSheetId="6">'Затраты на содержание УДО'!$2:$2</definedName>
    <definedName name="_xlnm.Print_Area" localSheetId="6">'Затраты на содержание УДО'!$A$1:$P$19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 l="1"/>
  <c r="C11" i="7"/>
  <c r="O18" i="13"/>
  <c r="M18" i="13"/>
  <c r="L18" i="13"/>
  <c r="K18" i="13"/>
  <c r="J18" i="13"/>
  <c r="I18" i="13"/>
  <c r="H18" i="13"/>
  <c r="G18" i="13"/>
  <c r="F18" i="13"/>
  <c r="E18" i="13"/>
  <c r="D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18" i="13" s="1"/>
  <c r="P18" i="13" s="1"/>
  <c r="J3" i="12" l="1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J2" i="12"/>
  <c r="I2" i="12"/>
  <c r="G23" i="12"/>
  <c r="L6" i="12" l="1"/>
  <c r="L12" i="12"/>
  <c r="L4" i="12"/>
  <c r="L10" i="12"/>
  <c r="L15" i="12" l="1"/>
  <c r="L21" i="12"/>
  <c r="L17" i="12"/>
  <c r="L14" i="12"/>
  <c r="J23" i="12"/>
  <c r="L7" i="12"/>
  <c r="L5" i="12"/>
  <c r="L3" i="12"/>
  <c r="L13" i="12"/>
  <c r="L11" i="12"/>
  <c r="L16" i="12"/>
  <c r="L22" i="12"/>
  <c r="L8" i="12"/>
  <c r="L19" i="12"/>
  <c r="L18" i="12"/>
  <c r="L20" i="12"/>
  <c r="L9" i="12"/>
  <c r="L2" i="12"/>
  <c r="G23" i="5"/>
  <c r="G39" i="9"/>
  <c r="G11" i="10"/>
  <c r="G39" i="8"/>
  <c r="I23" i="12" l="1"/>
  <c r="F4" i="7"/>
  <c r="G19" i="7" l="1"/>
  <c r="H19" i="7"/>
  <c r="I19" i="7"/>
  <c r="J19" i="7"/>
  <c r="K19" i="7"/>
  <c r="F19" i="7"/>
  <c r="K18" i="7" l="1"/>
  <c r="J18" i="7"/>
  <c r="I18" i="7"/>
  <c r="H18" i="7"/>
  <c r="G18" i="7"/>
  <c r="F18" i="7"/>
  <c r="K16" i="7"/>
  <c r="J16" i="7"/>
  <c r="I16" i="7"/>
  <c r="H16" i="7"/>
  <c r="G16" i="7"/>
  <c r="F16" i="7"/>
  <c r="K14" i="7"/>
  <c r="J14" i="7"/>
  <c r="J15" i="7" s="1"/>
  <c r="I14" i="7"/>
  <c r="I15" i="7" s="1"/>
  <c r="H14" i="7"/>
  <c r="H15" i="7" s="1"/>
  <c r="G14" i="7"/>
  <c r="G15" i="7" s="1"/>
  <c r="F14" i="7"/>
  <c r="K17" i="7"/>
  <c r="J17" i="7"/>
  <c r="I17" i="7"/>
  <c r="H17" i="7"/>
  <c r="G17" i="7"/>
  <c r="F17" i="7"/>
  <c r="K15" i="7" l="1"/>
  <c r="K13" i="7"/>
  <c r="F15" i="7"/>
  <c r="G13" i="7"/>
  <c r="H13" i="7"/>
  <c r="I4" i="8" s="1"/>
  <c r="J13" i="7"/>
  <c r="I13" i="7"/>
  <c r="I18" i="5" s="1"/>
  <c r="I5" i="8" l="1"/>
  <c r="I6" i="8"/>
  <c r="I15" i="5"/>
  <c r="I19" i="5"/>
  <c r="I14" i="5"/>
  <c r="I22" i="5"/>
  <c r="I13" i="5"/>
  <c r="I17" i="5"/>
  <c r="I21" i="5"/>
  <c r="I12" i="5"/>
  <c r="I16" i="5"/>
  <c r="I20" i="5"/>
  <c r="J18" i="5"/>
  <c r="F13" i="7"/>
  <c r="I5" i="5"/>
  <c r="J5" i="5" s="1"/>
  <c r="I4" i="5"/>
  <c r="J4" i="5" s="1"/>
  <c r="I8" i="5"/>
  <c r="J8" i="5" s="1"/>
  <c r="I11" i="5"/>
  <c r="J11" i="5" s="1"/>
  <c r="I9" i="5"/>
  <c r="J9" i="5" s="1"/>
  <c r="I6" i="5"/>
  <c r="J6" i="5" s="1"/>
  <c r="I2" i="5"/>
  <c r="J2" i="5" s="1"/>
  <c r="I10" i="5"/>
  <c r="J10" i="5" s="1"/>
  <c r="I7" i="5" l="1"/>
  <c r="J7" i="5" s="1"/>
  <c r="J3" i="7"/>
  <c r="K3" i="7" s="1"/>
  <c r="U3" i="7" s="1"/>
  <c r="N3" i="7"/>
  <c r="O3" i="7" s="1"/>
  <c r="V3" i="7" s="1"/>
  <c r="I3" i="5"/>
  <c r="J3" i="5" s="1"/>
  <c r="R3" i="7"/>
  <c r="S3" i="7" s="1"/>
  <c r="W3" i="7" s="1"/>
  <c r="J16" i="5"/>
  <c r="J17" i="5"/>
  <c r="J14" i="5"/>
  <c r="J15" i="5"/>
  <c r="J20" i="5"/>
  <c r="J21" i="5"/>
  <c r="J22" i="5"/>
  <c r="J19" i="5"/>
  <c r="J12" i="5"/>
  <c r="J13" i="5"/>
  <c r="K2" i="5" l="1"/>
  <c r="N2" i="5" s="1"/>
  <c r="K4" i="5"/>
  <c r="U4" i="7"/>
  <c r="M3" i="5"/>
  <c r="K3" i="5"/>
  <c r="K10" i="5"/>
  <c r="M15" i="5"/>
  <c r="K15" i="5"/>
  <c r="K8" i="5"/>
  <c r="K11" i="5"/>
  <c r="K5" i="5"/>
  <c r="M6" i="5"/>
  <c r="M13" i="5"/>
  <c r="K13" i="5"/>
  <c r="M21" i="5"/>
  <c r="K21" i="5"/>
  <c r="M17" i="5"/>
  <c r="K17" i="5"/>
  <c r="M18" i="5"/>
  <c r="K9" i="5"/>
  <c r="M10" i="5"/>
  <c r="K7" i="5"/>
  <c r="M12" i="5"/>
  <c r="K12" i="5"/>
  <c r="M20" i="5"/>
  <c r="K20" i="5"/>
  <c r="M16" i="5"/>
  <c r="K16" i="5"/>
  <c r="K18" i="5"/>
  <c r="M9" i="5"/>
  <c r="M7" i="5"/>
  <c r="M19" i="5"/>
  <c r="K19" i="5"/>
  <c r="M2" i="5"/>
  <c r="K22" i="5"/>
  <c r="M22" i="5"/>
  <c r="K14" i="5"/>
  <c r="M14" i="5"/>
  <c r="M8" i="5"/>
  <c r="M4" i="5"/>
  <c r="M11" i="5"/>
  <c r="M5" i="5"/>
  <c r="K6" i="5"/>
  <c r="J5" i="8"/>
  <c r="I2" i="9"/>
  <c r="I6" i="9"/>
  <c r="I22" i="9"/>
  <c r="I38" i="9"/>
  <c r="I21" i="9"/>
  <c r="I37" i="9"/>
  <c r="I8" i="9"/>
  <c r="I24" i="9"/>
  <c r="I7" i="9"/>
  <c r="I4" i="9"/>
  <c r="I3" i="9"/>
  <c r="I18" i="9"/>
  <c r="I34" i="9"/>
  <c r="I17" i="9"/>
  <c r="I33" i="9"/>
  <c r="I20" i="9"/>
  <c r="I36" i="9"/>
  <c r="I35" i="9"/>
  <c r="I19" i="9"/>
  <c r="I31" i="9"/>
  <c r="I5" i="9"/>
  <c r="I14" i="9"/>
  <c r="I30" i="9"/>
  <c r="I13" i="9"/>
  <c r="I29" i="9"/>
  <c r="I16" i="9"/>
  <c r="I32" i="9"/>
  <c r="I15" i="9"/>
  <c r="I10" i="9"/>
  <c r="I26" i="9"/>
  <c r="I9" i="9"/>
  <c r="I25" i="9"/>
  <c r="I12" i="9"/>
  <c r="I28" i="9"/>
  <c r="I11" i="9"/>
  <c r="I27" i="9"/>
  <c r="I23" i="9"/>
  <c r="I3" i="10"/>
  <c r="I8" i="10"/>
  <c r="I10" i="10"/>
  <c r="I9" i="10"/>
  <c r="I6" i="10"/>
  <c r="I5" i="10"/>
  <c r="I4" i="10"/>
  <c r="I2" i="10"/>
  <c r="I7" i="10"/>
  <c r="I13" i="8"/>
  <c r="I29" i="8"/>
  <c r="I28" i="8"/>
  <c r="I34" i="8"/>
  <c r="I16" i="8"/>
  <c r="I15" i="8"/>
  <c r="I31" i="8"/>
  <c r="I14" i="8"/>
  <c r="I8" i="8"/>
  <c r="I3" i="8"/>
  <c r="I9" i="8"/>
  <c r="I25" i="8"/>
  <c r="I24" i="8"/>
  <c r="I26" i="8"/>
  <c r="I12" i="8"/>
  <c r="I11" i="8"/>
  <c r="I27" i="8"/>
  <c r="I10" i="8"/>
  <c r="I38" i="8"/>
  <c r="I30" i="8"/>
  <c r="I21" i="8"/>
  <c r="I37" i="8"/>
  <c r="I18" i="8"/>
  <c r="I36" i="8"/>
  <c r="I23" i="8"/>
  <c r="I2" i="8"/>
  <c r="J2" i="8" s="1"/>
  <c r="I17" i="8"/>
  <c r="I33" i="8"/>
  <c r="I32" i="8"/>
  <c r="I20" i="8"/>
  <c r="I19" i="8"/>
  <c r="I35" i="8"/>
  <c r="I22" i="8"/>
  <c r="I7" i="8"/>
  <c r="M5" i="8" l="1"/>
  <c r="K5" i="8"/>
  <c r="M2" i="8"/>
  <c r="K2" i="8"/>
  <c r="L2" i="8" s="1"/>
  <c r="L12" i="5"/>
  <c r="N12" i="5"/>
  <c r="P12" i="5" s="1"/>
  <c r="J33" i="8"/>
  <c r="J22" i="8"/>
  <c r="J32" i="8"/>
  <c r="J6" i="8"/>
  <c r="J37" i="8"/>
  <c r="J38" i="8"/>
  <c r="J12" i="8"/>
  <c r="J9" i="8"/>
  <c r="J31" i="8"/>
  <c r="J28" i="8"/>
  <c r="L16" i="5"/>
  <c r="N16" i="5"/>
  <c r="P16" i="5" s="1"/>
  <c r="L20" i="5"/>
  <c r="N20" i="5"/>
  <c r="P20" i="5" s="1"/>
  <c r="J2" i="10"/>
  <c r="J3" i="10"/>
  <c r="J23" i="9"/>
  <c r="J12" i="9"/>
  <c r="J10" i="9"/>
  <c r="J29" i="9"/>
  <c r="J5" i="9"/>
  <c r="J36" i="9"/>
  <c r="J34" i="9"/>
  <c r="J7" i="9"/>
  <c r="J21" i="9"/>
  <c r="J2" i="9"/>
  <c r="J7" i="8"/>
  <c r="J18" i="8"/>
  <c r="J30" i="8"/>
  <c r="J11" i="8"/>
  <c r="J25" i="8"/>
  <c r="J14" i="8"/>
  <c r="J34" i="8"/>
  <c r="L18" i="5"/>
  <c r="N18" i="5"/>
  <c r="P18" i="5" s="1"/>
  <c r="L14" i="5"/>
  <c r="N14" i="5"/>
  <c r="P14" i="5" s="1"/>
  <c r="L22" i="5"/>
  <c r="N22" i="5"/>
  <c r="P22" i="5" s="1"/>
  <c r="J6" i="10"/>
  <c r="J10" i="10"/>
  <c r="J8" i="10"/>
  <c r="J28" i="9"/>
  <c r="J26" i="9"/>
  <c r="J16" i="9"/>
  <c r="J14" i="9"/>
  <c r="J35" i="9"/>
  <c r="J17" i="9"/>
  <c r="J4" i="9"/>
  <c r="J37" i="9"/>
  <c r="J6" i="9"/>
  <c r="L17" i="5"/>
  <c r="N17" i="5"/>
  <c r="P17" i="5" s="1"/>
  <c r="L21" i="5"/>
  <c r="N21" i="5"/>
  <c r="P21" i="5" s="1"/>
  <c r="J20" i="8"/>
  <c r="L15" i="5"/>
  <c r="N15" i="5"/>
  <c r="P15" i="5" s="1"/>
  <c r="L19" i="5"/>
  <c r="N19" i="5"/>
  <c r="P19" i="5" s="1"/>
  <c r="J19" i="8"/>
  <c r="J17" i="8"/>
  <c r="J36" i="8"/>
  <c r="J4" i="8"/>
  <c r="J27" i="8"/>
  <c r="J24" i="8"/>
  <c r="J8" i="8"/>
  <c r="J16" i="8"/>
  <c r="J13" i="8"/>
  <c r="L13" i="5"/>
  <c r="N13" i="5"/>
  <c r="P13" i="5" s="1"/>
  <c r="J11" i="9"/>
  <c r="J9" i="9"/>
  <c r="J32" i="9"/>
  <c r="J30" i="9"/>
  <c r="J19" i="9"/>
  <c r="J33" i="9"/>
  <c r="J3" i="9"/>
  <c r="J8" i="9"/>
  <c r="J22" i="9"/>
  <c r="J35" i="8"/>
  <c r="J23" i="8"/>
  <c r="J21" i="8"/>
  <c r="J10" i="8"/>
  <c r="J26" i="8"/>
  <c r="J3" i="8"/>
  <c r="J15" i="8"/>
  <c r="J29" i="8"/>
  <c r="J7" i="10"/>
  <c r="J4" i="10"/>
  <c r="J5" i="10"/>
  <c r="J9" i="10"/>
  <c r="J27" i="9"/>
  <c r="J25" i="9"/>
  <c r="J15" i="9"/>
  <c r="J13" i="9"/>
  <c r="J31" i="9"/>
  <c r="J20" i="9"/>
  <c r="J18" i="9"/>
  <c r="J24" i="9"/>
  <c r="J38" i="9"/>
  <c r="M23" i="5"/>
  <c r="N4" i="5"/>
  <c r="L4" i="5"/>
  <c r="L2" i="5"/>
  <c r="N10" i="5"/>
  <c r="P10" i="5" s="1"/>
  <c r="L10" i="5"/>
  <c r="N3" i="5"/>
  <c r="L3" i="5"/>
  <c r="N6" i="5"/>
  <c r="P6" i="5" s="1"/>
  <c r="L6" i="5"/>
  <c r="N7" i="5"/>
  <c r="P7" i="5" s="1"/>
  <c r="L7" i="5"/>
  <c r="N9" i="5"/>
  <c r="P9" i="5" s="1"/>
  <c r="L9" i="5"/>
  <c r="N5" i="5"/>
  <c r="L5" i="5"/>
  <c r="N8" i="5"/>
  <c r="P8" i="5" s="1"/>
  <c r="L8" i="5"/>
  <c r="N11" i="5"/>
  <c r="P11" i="5" s="1"/>
  <c r="L11" i="5"/>
  <c r="M25" i="9" l="1"/>
  <c r="K25" i="9"/>
  <c r="M15" i="8"/>
  <c r="K15" i="8"/>
  <c r="K8" i="9"/>
  <c r="M8" i="9"/>
  <c r="M30" i="9"/>
  <c r="K30" i="9"/>
  <c r="M26" i="9"/>
  <c r="K26" i="9"/>
  <c r="M11" i="8"/>
  <c r="K11" i="8"/>
  <c r="K36" i="9"/>
  <c r="M36" i="9"/>
  <c r="M22" i="8"/>
  <c r="K22" i="8"/>
  <c r="M38" i="9"/>
  <c r="K38" i="9"/>
  <c r="M3" i="8"/>
  <c r="K3" i="8"/>
  <c r="M3" i="9"/>
  <c r="K3" i="9"/>
  <c r="M35" i="9"/>
  <c r="K35" i="9"/>
  <c r="M5" i="9"/>
  <c r="K5" i="9"/>
  <c r="M17" i="8"/>
  <c r="K17" i="8"/>
  <c r="M37" i="9"/>
  <c r="K37" i="9"/>
  <c r="M14" i="9"/>
  <c r="K14" i="9"/>
  <c r="M8" i="10"/>
  <c r="K8" i="10"/>
  <c r="M14" i="8"/>
  <c r="K14" i="8"/>
  <c r="M18" i="8"/>
  <c r="K18" i="8"/>
  <c r="M7" i="9"/>
  <c r="K7" i="9"/>
  <c r="M29" i="9"/>
  <c r="K29" i="9"/>
  <c r="M3" i="10"/>
  <c r="K3" i="10"/>
  <c r="N3" i="10" s="1"/>
  <c r="K9" i="8"/>
  <c r="M9" i="8"/>
  <c r="M6" i="8"/>
  <c r="K6" i="8"/>
  <c r="K20" i="9"/>
  <c r="M20" i="9"/>
  <c r="M4" i="10"/>
  <c r="K4" i="10"/>
  <c r="N4" i="10" s="1"/>
  <c r="K21" i="8"/>
  <c r="M21" i="8"/>
  <c r="M16" i="8"/>
  <c r="K16" i="8"/>
  <c r="M4" i="8"/>
  <c r="K4" i="8"/>
  <c r="M20" i="8"/>
  <c r="K20" i="8"/>
  <c r="M17" i="9"/>
  <c r="K17" i="9"/>
  <c r="M2" i="9"/>
  <c r="K2" i="9"/>
  <c r="K12" i="9"/>
  <c r="M12" i="9"/>
  <c r="M28" i="8"/>
  <c r="K28" i="8"/>
  <c r="M38" i="8"/>
  <c r="K38" i="8"/>
  <c r="M31" i="9"/>
  <c r="K31" i="9"/>
  <c r="M27" i="9"/>
  <c r="K27" i="9"/>
  <c r="M7" i="10"/>
  <c r="K7" i="10"/>
  <c r="M23" i="8"/>
  <c r="K23" i="8"/>
  <c r="K32" i="9"/>
  <c r="M32" i="9"/>
  <c r="M8" i="8"/>
  <c r="K8" i="8"/>
  <c r="M36" i="8"/>
  <c r="K36" i="8"/>
  <c r="M6" i="9"/>
  <c r="K6" i="9"/>
  <c r="K28" i="9"/>
  <c r="M28" i="9"/>
  <c r="K6" i="10"/>
  <c r="M6" i="10"/>
  <c r="M34" i="8"/>
  <c r="K34" i="8"/>
  <c r="M30" i="8"/>
  <c r="K30" i="8"/>
  <c r="M21" i="9"/>
  <c r="K21" i="9"/>
  <c r="M23" i="9"/>
  <c r="K23" i="9"/>
  <c r="M2" i="10"/>
  <c r="K2" i="10"/>
  <c r="M31" i="8"/>
  <c r="K31" i="8"/>
  <c r="M37" i="8"/>
  <c r="K37" i="8"/>
  <c r="K33" i="8"/>
  <c r="M33" i="8"/>
  <c r="K24" i="9"/>
  <c r="M24" i="9"/>
  <c r="M13" i="9"/>
  <c r="K13" i="9"/>
  <c r="M5" i="10"/>
  <c r="K5" i="10"/>
  <c r="K26" i="8"/>
  <c r="M26" i="8"/>
  <c r="M35" i="8"/>
  <c r="K35" i="8"/>
  <c r="M33" i="9"/>
  <c r="K33" i="9"/>
  <c r="M9" i="9"/>
  <c r="K9" i="9"/>
  <c r="M24" i="8"/>
  <c r="K24" i="8"/>
  <c r="M18" i="9"/>
  <c r="K18" i="9"/>
  <c r="M15" i="9"/>
  <c r="K15" i="9"/>
  <c r="M9" i="10"/>
  <c r="K9" i="10"/>
  <c r="M29" i="8"/>
  <c r="K29" i="8"/>
  <c r="K10" i="8"/>
  <c r="M10" i="8"/>
  <c r="M22" i="9"/>
  <c r="K22" i="9"/>
  <c r="M19" i="9"/>
  <c r="K19" i="9"/>
  <c r="M11" i="9"/>
  <c r="K11" i="9"/>
  <c r="K13" i="8"/>
  <c r="M13" i="8"/>
  <c r="M27" i="8"/>
  <c r="K27" i="8"/>
  <c r="M19" i="8"/>
  <c r="K19" i="8"/>
  <c r="K4" i="9"/>
  <c r="M4" i="9"/>
  <c r="K16" i="9"/>
  <c r="M16" i="9"/>
  <c r="K10" i="10"/>
  <c r="M10" i="10"/>
  <c r="M25" i="8"/>
  <c r="K25" i="8"/>
  <c r="M7" i="8"/>
  <c r="K7" i="8"/>
  <c r="M34" i="9"/>
  <c r="K34" i="9"/>
  <c r="M10" i="9"/>
  <c r="K10" i="9"/>
  <c r="M12" i="8"/>
  <c r="K12" i="8"/>
  <c r="M32" i="8"/>
  <c r="K32" i="8"/>
  <c r="L5" i="8"/>
  <c r="N5" i="8"/>
  <c r="L23" i="5"/>
  <c r="N2" i="8"/>
  <c r="M39" i="8" l="1"/>
  <c r="L2" i="10"/>
  <c r="N2" i="10"/>
  <c r="L33" i="8"/>
  <c r="N33" i="8"/>
  <c r="L37" i="8"/>
  <c r="N37" i="8"/>
  <c r="L5" i="9"/>
  <c r="N5" i="9"/>
  <c r="L21" i="9"/>
  <c r="N21" i="9"/>
  <c r="L14" i="8"/>
  <c r="N14" i="8"/>
  <c r="L10" i="10"/>
  <c r="N10" i="10"/>
  <c r="L19" i="8"/>
  <c r="N19" i="8"/>
  <c r="L13" i="8"/>
  <c r="N13" i="8"/>
  <c r="L30" i="9"/>
  <c r="N30" i="9"/>
  <c r="L29" i="8"/>
  <c r="N29" i="8"/>
  <c r="L9" i="10"/>
  <c r="N9" i="10"/>
  <c r="L15" i="9"/>
  <c r="N15" i="9"/>
  <c r="L7" i="9"/>
  <c r="N7" i="9"/>
  <c r="L26" i="9"/>
  <c r="N26" i="9"/>
  <c r="L11" i="9"/>
  <c r="N11" i="9"/>
  <c r="L19" i="9"/>
  <c r="N19" i="9"/>
  <c r="L15" i="8"/>
  <c r="N15" i="8"/>
  <c r="L20" i="9"/>
  <c r="N20" i="9"/>
  <c r="L31" i="9"/>
  <c r="N31" i="9"/>
  <c r="M11" i="10"/>
  <c r="L38" i="9"/>
  <c r="N38" i="9"/>
  <c r="L23" i="9"/>
  <c r="N23" i="9"/>
  <c r="L28" i="9"/>
  <c r="N28" i="9"/>
  <c r="L35" i="9"/>
  <c r="N35" i="9"/>
  <c r="L23" i="8"/>
  <c r="N23" i="8"/>
  <c r="L27" i="9"/>
  <c r="N27" i="9"/>
  <c r="L6" i="8"/>
  <c r="N6" i="8"/>
  <c r="L9" i="8"/>
  <c r="N9" i="8"/>
  <c r="L3" i="10"/>
  <c r="L29" i="9"/>
  <c r="N29" i="9"/>
  <c r="L30" i="8"/>
  <c r="N30" i="8"/>
  <c r="L34" i="8"/>
  <c r="N34" i="8"/>
  <c r="L17" i="9"/>
  <c r="N17" i="9"/>
  <c r="L20" i="8"/>
  <c r="N20" i="8"/>
  <c r="L4" i="8"/>
  <c r="N4" i="8"/>
  <c r="L16" i="8"/>
  <c r="N16" i="8"/>
  <c r="L22" i="9"/>
  <c r="N22" i="9"/>
  <c r="L21" i="8"/>
  <c r="N21" i="8"/>
  <c r="L4" i="10"/>
  <c r="L25" i="9"/>
  <c r="N25" i="9"/>
  <c r="L32" i="8"/>
  <c r="N32" i="8"/>
  <c r="L12" i="8"/>
  <c r="N12" i="8"/>
  <c r="L10" i="9"/>
  <c r="N10" i="9"/>
  <c r="L34" i="9"/>
  <c r="N34" i="9"/>
  <c r="L7" i="8"/>
  <c r="N7" i="8"/>
  <c r="L11" i="8"/>
  <c r="N11" i="8"/>
  <c r="L6" i="10"/>
  <c r="N6" i="10"/>
  <c r="L6" i="9"/>
  <c r="N6" i="9"/>
  <c r="L36" i="8"/>
  <c r="N36" i="8"/>
  <c r="L8" i="8"/>
  <c r="N8" i="8"/>
  <c r="L9" i="9"/>
  <c r="N9" i="9"/>
  <c r="L33" i="9"/>
  <c r="N33" i="9"/>
  <c r="L3" i="8"/>
  <c r="N3" i="8"/>
  <c r="L7" i="10"/>
  <c r="N7" i="10"/>
  <c r="L18" i="9"/>
  <c r="N18" i="9"/>
  <c r="L38" i="8"/>
  <c r="N38" i="8"/>
  <c r="L12" i="9"/>
  <c r="N12" i="9"/>
  <c r="L36" i="9"/>
  <c r="N36" i="9"/>
  <c r="L2" i="9"/>
  <c r="N2" i="9"/>
  <c r="L32" i="9"/>
  <c r="N32" i="9"/>
  <c r="L3" i="9"/>
  <c r="N3" i="9"/>
  <c r="L35" i="8"/>
  <c r="N35" i="8"/>
  <c r="L26" i="8"/>
  <c r="N26" i="8"/>
  <c r="L31" i="8"/>
  <c r="N31" i="8"/>
  <c r="L18" i="8"/>
  <c r="N18" i="8"/>
  <c r="L16" i="9"/>
  <c r="N16" i="9"/>
  <c r="L4" i="9"/>
  <c r="N4" i="9"/>
  <c r="L27" i="8"/>
  <c r="N27" i="8"/>
  <c r="L8" i="9"/>
  <c r="N8" i="9"/>
  <c r="L10" i="8"/>
  <c r="N10" i="8"/>
  <c r="L22" i="8"/>
  <c r="N22" i="8"/>
  <c r="L28" i="8"/>
  <c r="N28" i="8"/>
  <c r="L25" i="8"/>
  <c r="N25" i="8"/>
  <c r="L8" i="10"/>
  <c r="N8" i="10"/>
  <c r="L14" i="9"/>
  <c r="N14" i="9"/>
  <c r="L37" i="9"/>
  <c r="N37" i="9"/>
  <c r="L17" i="8"/>
  <c r="N17" i="8"/>
  <c r="L24" i="8"/>
  <c r="N24" i="8"/>
  <c r="L5" i="10"/>
  <c r="N5" i="10"/>
  <c r="L13" i="9"/>
  <c r="N13" i="9"/>
  <c r="L24" i="9"/>
  <c r="N24" i="9"/>
  <c r="M39" i="9"/>
  <c r="L11" i="10" l="1"/>
  <c r="L17" i="10" s="1"/>
  <c r="L39" i="9"/>
  <c r="L39" i="8"/>
  <c r="X3" i="7" s="1"/>
  <c r="X5" i="7" l="1"/>
  <c r="X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F9" authorId="0" shapeId="0" xr:uid="{B109CFE1-4810-447F-BBD4-A6BDF78C0B20}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в среднем педагого работает 24ч/часы в 1 группе в неделю, например 6ч=4 групп*среднюю численность в группе ( (10+20)/2=15)=15*4=60 чел на 1 педагога</t>
        </r>
      </text>
    </comment>
    <comment ref="F10" authorId="0" shapeId="0" xr:uid="{550E655E-CA27-4F32-8083-B916FA06E9BE}">
      <text>
        <r>
          <rPr>
            <b/>
            <sz val="9"/>
            <color indexed="81"/>
            <rFont val="Tahoma"/>
            <charset val="1"/>
          </rPr>
          <t>Пользователь:</t>
        </r>
        <r>
          <rPr>
            <sz val="9"/>
            <color indexed="81"/>
            <rFont val="Tahoma"/>
            <charset val="1"/>
          </rPr>
          <t xml:space="preserve">
курс 1 программы 36*6=216</t>
        </r>
      </text>
    </comment>
  </commentList>
</comments>
</file>

<file path=xl/sharedStrings.xml><?xml version="1.0" encoding="utf-8"?>
<sst xmlns="http://schemas.openxmlformats.org/spreadsheetml/2006/main" count="451" uniqueCount="114">
  <si>
    <t>Наименование муниципалитета</t>
  </si>
  <si>
    <t>Организация 1</t>
  </si>
  <si>
    <t>Организация 2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</si>
  <si>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</si>
  <si>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</si>
  <si>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</si>
  <si>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</si>
  <si>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</si>
  <si>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</si>
  <si>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</si>
  <si>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</si>
  <si>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</si>
  <si>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</si>
  <si>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</si>
  <si>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</si>
  <si>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</si>
  <si>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</si>
  <si>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</si>
  <si>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</si>
  <si>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</si>
  <si>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</si>
  <si>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</si>
  <si>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</si>
  <si>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</si>
  <si>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</si>
  <si>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</si>
  <si>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</si>
  <si>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</si>
  <si>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</si>
  <si>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</si>
  <si>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х</t>
  </si>
  <si>
    <t>Количество учебных часов в неделю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</si>
  <si>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</si>
  <si>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</si>
  <si>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ДОХОД учреждения по ПФ ДОД</t>
  </si>
  <si>
    <t>Требуется дополнительно выделить</t>
  </si>
  <si>
    <t>Организация 3</t>
  </si>
  <si>
    <t>Установленный охват общий, %</t>
  </si>
  <si>
    <t>Справочно число педчасов на указную зарплату при установленных параметрах</t>
  </si>
  <si>
    <t>Численность детей от 5 до 18 лет, всего</t>
  </si>
  <si>
    <t>Социально-гуманитарная</t>
  </si>
  <si>
    <t>Объем муниципального задания ПФДОД, человеко-часов</t>
  </si>
  <si>
    <t>Установленный охват ПФ ДОД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</si>
  <si>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</si>
  <si>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</si>
  <si>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</si>
  <si>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</si>
  <si>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Отраслевые коэффициенты</t>
  </si>
  <si>
    <t>Адаптированная программа для детей с ОВЗ</t>
  </si>
  <si>
    <t>Программа в дистанционной форме</t>
  </si>
  <si>
    <t>Программа в очно-заочной форме</t>
  </si>
  <si>
    <t>Объем муниципального задания ПФ ДОД, человеко-часов</t>
  </si>
  <si>
    <t>Количество часов программы, покрываемое сертификатом</t>
  </si>
  <si>
    <t>Количество часов программы, покрываемое сертификатом для детей с ОВЗ</t>
  </si>
  <si>
    <t>* Не может быть менее устанавливаемого для всех детей в возрасте от 5 до 18 лет</t>
  </si>
  <si>
    <t>Число сертификатов с определенным номиналом для  детей от 5 до 18 лет</t>
  </si>
  <si>
    <t>Число сертификатов с определенным номиналом для детей от 5 до 18 лет с ОВЗ</t>
  </si>
  <si>
    <t>Требуемый объем финансового обеспечения по категории ОВЗ, рублей</t>
  </si>
  <si>
    <t>Требуемый объем финансового обеспечения покатегории дети от 5 до 18 лет, рублей</t>
  </si>
  <si>
    <t>Количество часов программы, покрываемое сертификатом для детей по категории</t>
  </si>
  <si>
    <t>Коэффициент к дополнительной категории</t>
  </si>
  <si>
    <t>Число сертификатов с определенным номиналом для детей по дополнительной категории</t>
  </si>
  <si>
    <t>Требуемый объем финансового обеспечения по дополнительной категории, рублей</t>
  </si>
  <si>
    <t>Число сертификатов ДО</t>
  </si>
  <si>
    <t>В том числе прогноз неиспользуемого остатка (допустимое значение  до 10%)</t>
  </si>
  <si>
    <t>Выделенный объем финансового обеспечения на мероприятие ПФДОД, рублей</t>
  </si>
  <si>
    <t>Норматив обеспечения (номинал) сертификата для  детей от 5 до 18 лет на год, рублей</t>
  </si>
  <si>
    <t>Норматив обеспечения (номинал) сертификата для детей от 5 до 18 лет с ОВЗ на год, рублей*</t>
  </si>
  <si>
    <t>Норматив обеспечения (номинал) сертификата для детей по дополнительной категории на год, рублей*</t>
  </si>
  <si>
    <t>Норматив обеспечения (номинал) сертификата для  детей от 5 до 18 лет на период, рублей</t>
  </si>
  <si>
    <t>Норматив обеспечения (номинал) сертификата для детей от 5 до 18 лет с ОВЗ на период, рублей*</t>
  </si>
  <si>
    <t>Норматив обеспечения (номинал) сертификата для детей по дополнительной категории на период, рублей*</t>
  </si>
  <si>
    <t>Количество учебных недель в периоде</t>
  </si>
  <si>
    <t>Количество ч/часов, включаемых в соцзаказ по соц.сертификатам для иных исполнителей</t>
  </si>
  <si>
    <t>Номинал сертификата для  детей от 5 до 18 лет на период, часы</t>
  </si>
  <si>
    <t>Номинал сертификата для детей от 5 до 18 лет с ОВЗ на период, часы*</t>
  </si>
  <si>
    <t>Номинал сертификата для детей по дополнительной категории на период, часы*</t>
  </si>
  <si>
    <t>Норматив МЗ за чел/час</t>
  </si>
  <si>
    <t xml:space="preserve">Объем фин.обеспечения </t>
  </si>
  <si>
    <t>Норматив на МЗ, чел/час</t>
  </si>
  <si>
    <t>Норматив на МЗ,  чел/час</t>
  </si>
  <si>
    <t>г. Сказка</t>
  </si>
  <si>
    <t>Волейбол</t>
  </si>
  <si>
    <t>Баскетбол</t>
  </si>
  <si>
    <t>Футбол</t>
  </si>
  <si>
    <t>Природа и мы</t>
  </si>
  <si>
    <t>Маленький турист</t>
  </si>
  <si>
    <t>Ментальная арифметика</t>
  </si>
  <si>
    <t>Ораторское искусство</t>
  </si>
  <si>
    <t>Палитра цветов</t>
  </si>
  <si>
    <t>Юный чтец</t>
  </si>
  <si>
    <t>Вязание крючком</t>
  </si>
  <si>
    <t>Кинематограф</t>
  </si>
  <si>
    <t>ДЮСШ</t>
  </si>
  <si>
    <t>ДДТ</t>
  </si>
  <si>
    <t>Кинематограф, 2 год обучения</t>
  </si>
  <si>
    <t>ЗОЖ</t>
  </si>
  <si>
    <t xml:space="preserve">Затраты на содержание УДО на 2023 год </t>
  </si>
  <si>
    <t>рублей</t>
  </si>
  <si>
    <t>Наименование учреждения</t>
  </si>
  <si>
    <t xml:space="preserve">ИНН </t>
  </si>
  <si>
    <t>ст 212</t>
  </si>
  <si>
    <t>ст 221</t>
  </si>
  <si>
    <t>ст 222</t>
  </si>
  <si>
    <t>ст 223</t>
  </si>
  <si>
    <t>ст 224</t>
  </si>
  <si>
    <t>ст 225</t>
  </si>
  <si>
    <t>ст 226 (без учета расходов на медосмотр и повышение квалификации)</t>
  </si>
  <si>
    <t>ст 227</t>
  </si>
  <si>
    <t>ст 340</t>
  </si>
  <si>
    <t>ст 290 (налоги)</t>
  </si>
  <si>
    <t>итого</t>
  </si>
  <si>
    <t>Количество чел/часов по всем программам, реализуемым в учреждении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</si>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</sst>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&quot;₽&quot;"/>
    <numFmt numFmtId="167" formatCode="#,##0\ &quot;₽&quot;"/>
    <numFmt numFmtId="168" formatCode="0.00_ ;[Red]\-0.00\ "/>
    <numFmt numFmtId="169" formatCode="#,##0_ ;\-#,##0\ "/>
    <numFmt numFmtId="170" formatCode="0.0%"/>
  </numFmts>
  <fonts count="3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53">
    <xf numFmtId="0" fontId="0" fillId="0" borderId="0" xfId="0"/>
    <xf numFmtId="3" fontId="0" fillId="0" borderId="0" xfId="0" applyNumberFormat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165" fontId="0" fillId="0" borderId="1" xfId="1" applyFont="1" applyBorder="1" applyAlignment="1">
      <alignment wrapText="1"/>
    </xf>
    <xf numFmtId="165" fontId="0" fillId="0" borderId="1" xfId="0" applyNumberFormat="1" applyBorder="1"/>
    <xf numFmtId="1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5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5" fontId="0" fillId="0" borderId="0" xfId="1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1" applyFont="1" applyBorder="1" applyAlignment="1" applyProtection="1">
      <alignment horizontal="center" vertical="center" wrapText="1"/>
      <protection locked="0"/>
    </xf>
    <xf numFmtId="165" fontId="4" fillId="0" borderId="1" xfId="1" applyFont="1" applyBorder="1" applyAlignment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5" fontId="0" fillId="3" borderId="1" xfId="1" applyFont="1" applyFill="1" applyBorder="1" applyAlignment="1" applyProtection="1">
      <alignment horizontal="center"/>
      <protection locked="0"/>
    </xf>
    <xf numFmtId="9" fontId="0" fillId="0" borderId="0" xfId="2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5" fontId="14" fillId="0" borderId="1" xfId="1" applyFont="1" applyBorder="1" applyAlignment="1">
      <alignment horizontal="center" vertical="center" wrapText="1"/>
    </xf>
    <xf numFmtId="165" fontId="15" fillId="0" borderId="1" xfId="0" applyNumberFormat="1" applyFont="1" applyBorder="1"/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/>
    <xf numFmtId="165" fontId="16" fillId="0" borderId="1" xfId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>
      <alignment wrapText="1"/>
    </xf>
    <xf numFmtId="165" fontId="7" fillId="0" borderId="1" xfId="1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169" fontId="0" fillId="0" borderId="1" xfId="1" applyNumberFormat="1" applyFont="1" applyFill="1" applyBorder="1" applyAlignment="1">
      <alignment wrapText="1"/>
    </xf>
    <xf numFmtId="169" fontId="7" fillId="0" borderId="1" xfId="1" applyNumberFormat="1" applyFont="1" applyBorder="1" applyAlignment="1">
      <alignment wrapText="1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2" fontId="0" fillId="5" borderId="1" xfId="0" applyNumberFormat="1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44" fontId="18" fillId="0" borderId="0" xfId="3" applyFont="1" applyAlignment="1" applyProtection="1">
      <alignment horizontal="center" vertical="center" wrapText="1"/>
      <protection locked="0"/>
    </xf>
    <xf numFmtId="44" fontId="3" fillId="0" borderId="0" xfId="3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44" fontId="0" fillId="0" borderId="0" xfId="3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8" fontId="0" fillId="0" borderId="1" xfId="0" applyNumberFormat="1" applyBorder="1" applyAlignment="1" applyProtection="1">
      <alignment horizontal="center" vertical="top" wrapText="1"/>
      <protection locked="0"/>
    </xf>
    <xf numFmtId="168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168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3" fontId="0" fillId="3" borderId="1" xfId="0" applyNumberFormat="1" applyFill="1" applyBorder="1" applyAlignment="1" applyProtection="1">
      <alignment horizontal="center" vertical="center" wrapText="1"/>
      <protection locked="0"/>
    </xf>
    <xf numFmtId="44" fontId="3" fillId="0" borderId="1" xfId="3" applyFont="1" applyBorder="1" applyAlignment="1" applyProtection="1">
      <alignment vertical="center" wrapText="1"/>
    </xf>
    <xf numFmtId="44" fontId="3" fillId="3" borderId="1" xfId="3" applyFont="1" applyFill="1" applyBorder="1" applyAlignment="1" applyProtection="1">
      <alignment vertical="center" wrapText="1"/>
      <protection locked="0"/>
    </xf>
    <xf numFmtId="165" fontId="0" fillId="4" borderId="1" xfId="0" applyNumberForma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44" fontId="18" fillId="0" borderId="1" xfId="3" applyFont="1" applyBorder="1" applyAlignment="1" applyProtection="1">
      <alignment horizontal="center" vertical="center" wrapText="1"/>
    </xf>
    <xf numFmtId="44" fontId="18" fillId="0" borderId="1" xfId="3" applyFont="1" applyBorder="1" applyAlignment="1" applyProtection="1">
      <alignment horizontal="center" vertical="center" wrapText="1"/>
      <protection locked="0"/>
    </xf>
    <xf numFmtId="9" fontId="0" fillId="4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4" fontId="0" fillId="3" borderId="1" xfId="0" applyNumberFormat="1" applyFill="1" applyBorder="1" applyAlignment="1" applyProtection="1">
      <alignment horizontal="center" wrapText="1"/>
      <protection locked="0"/>
    </xf>
    <xf numFmtId="3" fontId="0" fillId="3" borderId="1" xfId="0" applyNumberFormat="1" applyFill="1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7" fontId="0" fillId="0" borderId="1" xfId="0" applyNumberFormat="1" applyBorder="1" applyAlignment="1" applyProtection="1">
      <alignment horizontal="left" wrapText="1"/>
      <protection locked="0"/>
    </xf>
    <xf numFmtId="2" fontId="0" fillId="0" borderId="1" xfId="0" applyNumberFormat="1" applyBorder="1" applyAlignment="1" applyProtection="1">
      <alignment horizontal="left" wrapText="1"/>
      <protection locked="0"/>
    </xf>
    <xf numFmtId="1" fontId="0" fillId="3" borderId="1" xfId="0" applyNumberForma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166" fontId="7" fillId="2" borderId="1" xfId="0" applyNumberFormat="1" applyFont="1" applyFill="1" applyBorder="1" applyAlignment="1">
      <alignment wrapText="1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0" fontId="19" fillId="0" borderId="1" xfId="0" applyFont="1" applyBorder="1" applyAlignment="1" applyProtection="1">
      <alignment wrapText="1"/>
      <protection locked="0"/>
    </xf>
    <xf numFmtId="0" fontId="19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170" fontId="0" fillId="0" borderId="1" xfId="0" applyNumberFormat="1" applyBorder="1" applyAlignment="1" applyProtection="1">
      <alignment horizontal="center" vertical="center" wrapText="1"/>
      <protection locked="0"/>
    </xf>
    <xf numFmtId="10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169" fontId="0" fillId="6" borderId="1" xfId="3" applyNumberFormat="1" applyFont="1" applyFill="1" applyBorder="1" applyAlignment="1" applyProtection="1">
      <alignment horizontal="center" vertical="center" wrapText="1"/>
      <protection locked="0"/>
    </xf>
    <xf numFmtId="44" fontId="3" fillId="3" borderId="1" xfId="3" applyFont="1" applyFill="1" applyBorder="1" applyAlignment="1" applyProtection="1">
      <alignment vertical="center" wrapText="1"/>
    </xf>
    <xf numFmtId="0" fontId="2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166" fontId="7" fillId="0" borderId="0" xfId="0" applyNumberFormat="1" applyFont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166" fontId="7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0" fontId="19" fillId="0" borderId="0" xfId="0" applyFont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165" fontId="0" fillId="0" borderId="0" xfId="0" applyNumberFormat="1"/>
    <xf numFmtId="4" fontId="4" fillId="0" borderId="0" xfId="0" applyNumberFormat="1" applyFont="1" applyAlignment="1" applyProtection="1">
      <alignment wrapText="1"/>
      <protection locked="0"/>
    </xf>
    <xf numFmtId="44" fontId="4" fillId="0" borderId="0" xfId="0" applyNumberFormat="1" applyFont="1" applyAlignment="1" applyProtection="1">
      <alignment wrapText="1"/>
      <protection locked="0"/>
    </xf>
    <xf numFmtId="2" fontId="3" fillId="3" borderId="1" xfId="3" applyNumberFormat="1" applyFont="1" applyFill="1" applyBorder="1" applyAlignment="1" applyProtection="1">
      <alignment vertical="center" wrapText="1"/>
    </xf>
    <xf numFmtId="4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28" fillId="0" borderId="0" xfId="6" applyFont="1"/>
    <xf numFmtId="0" fontId="28" fillId="0" borderId="0" xfId="6" applyFont="1" applyAlignment="1">
      <alignment horizontal="right"/>
    </xf>
    <xf numFmtId="49" fontId="29" fillId="0" borderId="1" xfId="6" applyNumberFormat="1" applyFont="1" applyBorder="1" applyAlignment="1">
      <alignment horizontal="center" vertical="center" wrapText="1" shrinkToFit="1"/>
    </xf>
    <xf numFmtId="3" fontId="28" fillId="0" borderId="1" xfId="7" applyNumberFormat="1" applyFont="1" applyBorder="1" applyAlignment="1">
      <alignment horizontal="center" vertical="center" wrapText="1"/>
    </xf>
    <xf numFmtId="0" fontId="28" fillId="0" borderId="0" xfId="6" applyFont="1" applyAlignment="1">
      <alignment horizontal="center"/>
    </xf>
    <xf numFmtId="0" fontId="28" fillId="0" borderId="1" xfId="7" applyFont="1" applyBorder="1" applyAlignment="1">
      <alignment horizontal="center"/>
    </xf>
    <xf numFmtId="4" fontId="28" fillId="3" borderId="1" xfId="6" applyNumberFormat="1" applyFont="1" applyFill="1" applyBorder="1" applyAlignment="1">
      <alignment horizontal="center" vertical="center"/>
    </xf>
    <xf numFmtId="4" fontId="28" fillId="0" borderId="1" xfId="6" applyNumberFormat="1" applyFont="1" applyBorder="1" applyAlignment="1">
      <alignment horizontal="center" vertical="center"/>
    </xf>
    <xf numFmtId="3" fontId="28" fillId="3" borderId="1" xfId="6" applyNumberFormat="1" applyFont="1" applyFill="1" applyBorder="1" applyAlignment="1">
      <alignment horizontal="center" vertical="center"/>
    </xf>
    <xf numFmtId="0" fontId="28" fillId="7" borderId="0" xfId="6" applyFont="1" applyFill="1" applyAlignment="1">
      <alignment vertical="center"/>
    </xf>
    <xf numFmtId="4" fontId="28" fillId="0" borderId="3" xfId="6" applyNumberFormat="1" applyFont="1" applyBorder="1" applyAlignment="1">
      <alignment horizontal="center" vertical="center"/>
    </xf>
    <xf numFmtId="0" fontId="28" fillId="0" borderId="0" xfId="6" applyFont="1" applyAlignment="1">
      <alignment vertical="center"/>
    </xf>
    <xf numFmtId="0" fontId="28" fillId="8" borderId="0" xfId="6" applyFont="1" applyFill="1" applyAlignment="1">
      <alignment vertical="center"/>
    </xf>
    <xf numFmtId="0" fontId="17" fillId="0" borderId="0" xfId="8"/>
    <xf numFmtId="49" fontId="30" fillId="0" borderId="1" xfId="6" applyNumberFormat="1" applyFont="1" applyBorder="1" applyAlignment="1">
      <alignment horizontal="center" vertical="center" wrapText="1" shrinkToFit="1"/>
    </xf>
    <xf numFmtId="4" fontId="29" fillId="0" borderId="1" xfId="6" applyNumberFormat="1" applyFont="1" applyBorder="1" applyAlignment="1">
      <alignment horizontal="center" vertical="center" wrapText="1" shrinkToFit="1"/>
    </xf>
    <xf numFmtId="4" fontId="29" fillId="0" borderId="6" xfId="6" applyNumberFormat="1" applyFont="1" applyBorder="1" applyAlignment="1">
      <alignment horizontal="center" vertical="center" wrapText="1" shrinkToFit="1"/>
    </xf>
    <xf numFmtId="2" fontId="31" fillId="0" borderId="7" xfId="6" applyNumberFormat="1" applyFont="1" applyBorder="1" applyAlignment="1">
      <alignment vertical="center"/>
    </xf>
    <xf numFmtId="0" fontId="17" fillId="2" borderId="0" xfId="9" applyFill="1"/>
    <xf numFmtId="4" fontId="0" fillId="0" borderId="1" xfId="0" applyNumberFormat="1" applyBorder="1" applyAlignment="1" applyProtection="1">
      <alignment horizontal="center" wrapText="1"/>
      <protection locked="0"/>
    </xf>
    <xf numFmtId="0" fontId="10" fillId="0" borderId="0" xfId="0" applyFont="1"/>
    <xf numFmtId="165" fontId="10" fillId="0" borderId="0" xfId="0" applyNumberFormat="1" applyFont="1"/>
    <xf numFmtId="0" fontId="7" fillId="2" borderId="0" xfId="0" applyFont="1" applyFill="1" applyAlignment="1" applyProtection="1">
      <alignment horizontal="center" wrapText="1"/>
      <protection locked="0"/>
    </xf>
    <xf numFmtId="44" fontId="3" fillId="0" borderId="0" xfId="3" applyFont="1" applyFill="1" applyAlignment="1" applyProtection="1">
      <alignment horizontal="center" vertical="center" wrapText="1"/>
      <protection locked="0"/>
    </xf>
    <xf numFmtId="3" fontId="18" fillId="0" borderId="1" xfId="0" applyNumberFormat="1" applyFont="1" applyBorder="1" applyAlignment="1" applyProtection="1">
      <alignment horizontal="center" vertical="center" wrapText="1"/>
      <protection locked="0"/>
    </xf>
    <xf numFmtId="3" fontId="0" fillId="2" borderId="1" xfId="0" applyNumberFormat="1" applyFill="1" applyBorder="1" applyAlignment="1" applyProtection="1">
      <alignment horizontal="center" vertical="center" wrapText="1"/>
      <protection locked="0"/>
    </xf>
    <xf numFmtId="168" fontId="0" fillId="0" borderId="1" xfId="0" applyNumberFormat="1" applyBorder="1" applyAlignment="1" applyProtection="1">
      <alignment horizontal="center" vertical="top" wrapText="1"/>
      <protection locked="0"/>
    </xf>
    <xf numFmtId="4" fontId="0" fillId="3" borderId="1" xfId="0" applyNumberForma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3" fontId="23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6" borderId="0" xfId="3" applyFont="1" applyFill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2" fontId="0" fillId="5" borderId="1" xfId="0" applyNumberForma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49" fontId="10" fillId="0" borderId="0" xfId="1" applyNumberFormat="1" applyFont="1" applyAlignment="1">
      <alignment horizontal="center" wrapText="1"/>
    </xf>
    <xf numFmtId="165" fontId="20" fillId="0" borderId="0" xfId="1" applyFont="1" applyAlignment="1">
      <alignment horizontal="center" wrapText="1"/>
    </xf>
    <xf numFmtId="49" fontId="27" fillId="0" borderId="0" xfId="6" applyNumberFormat="1" applyFont="1" applyAlignment="1">
      <alignment horizontal="left" vertical="center" wrapText="1"/>
    </xf>
    <xf numFmtId="49" fontId="29" fillId="0" borderId="1" xfId="6" applyNumberFormat="1" applyFont="1" applyBorder="1" applyAlignment="1">
      <alignment horizontal="center" vertical="center" wrapText="1" shrinkToFit="1"/>
    </xf>
    <xf numFmtId="49" fontId="30" fillId="0" borderId="1" xfId="6" applyNumberFormat="1" applyFont="1" applyBorder="1" applyAlignment="1">
      <alignment horizontal="center" vertical="center" wrapText="1" shrinkToFit="1"/>
    </xf>
  </cellXfs>
  <cellStyles count="10">
    <cellStyle name="Денежный" xfId="3" builtinId="4"/>
    <cellStyle name="Обычный" xfId="0" builtinId="0"/>
    <cellStyle name="Обычный 2" xfId="4" xr:uid="{00000000-0005-0000-0000-000002000000}"/>
    <cellStyle name="Обычный 2 2" xfId="5" xr:uid="{00000000-0005-0000-0000-000003000000}"/>
    <cellStyle name="Обычный_226 сады" xfId="6" xr:uid="{DACE26F5-6475-441C-99BD-3BDE6E54221F}"/>
    <cellStyle name="Обычный_226 школы" xfId="7" xr:uid="{CEFC3F3A-1F93-47CF-8776-F43A64C70D9C}"/>
    <cellStyle name="Обычный_Дет.дом 226" xfId="9" xr:uid="{D1C3176D-FBEC-4D9E-B79A-6D5A8ABA98BF}"/>
    <cellStyle name="Обычный_УДО 226" xfId="8" xr:uid="{BD5E7BFF-03DD-491A-9D15-8F3F1DBFD386}"/>
    <cellStyle name="Процентный" xfId="2" builtinId="5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19</xdr:row>
      <xdr:rowOff>228600</xdr:rowOff>
    </xdr:from>
    <xdr:to>
      <xdr:col>2</xdr:col>
      <xdr:colOff>0</xdr:colOff>
      <xdr:row>20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18</xdr:row>
      <xdr:rowOff>203200</xdr:rowOff>
    </xdr:from>
    <xdr:to>
      <xdr:col>1</xdr:col>
      <xdr:colOff>571500</xdr:colOff>
      <xdr:row>18</xdr:row>
      <xdr:rowOff>431800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11</xdr:row>
      <xdr:rowOff>187325</xdr:rowOff>
    </xdr:from>
    <xdr:to>
      <xdr:col>1</xdr:col>
      <xdr:colOff>342900</xdr:colOff>
      <xdr:row>11</xdr:row>
      <xdr:rowOff>390525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7</xdr:row>
      <xdr:rowOff>114300</xdr:rowOff>
    </xdr:from>
    <xdr:to>
      <xdr:col>1</xdr:col>
      <xdr:colOff>609600</xdr:colOff>
      <xdr:row>7</xdr:row>
      <xdr:rowOff>317500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10</xdr:row>
      <xdr:rowOff>241300</xdr:rowOff>
    </xdr:from>
    <xdr:to>
      <xdr:col>1</xdr:col>
      <xdr:colOff>571500</xdr:colOff>
      <xdr:row>10</xdr:row>
      <xdr:rowOff>469900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8</xdr:row>
      <xdr:rowOff>215900</xdr:rowOff>
    </xdr:from>
    <xdr:to>
      <xdr:col>1</xdr:col>
      <xdr:colOff>596900</xdr:colOff>
      <xdr:row>8</xdr:row>
      <xdr:rowOff>431800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9</xdr:row>
      <xdr:rowOff>139700</xdr:rowOff>
    </xdr:from>
    <xdr:to>
      <xdr:col>1</xdr:col>
      <xdr:colOff>584200</xdr:colOff>
      <xdr:row>9</xdr:row>
      <xdr:rowOff>393700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3;&#1072;&#1074;&#1080;&#1075;&#1072;&#1090;&#1086;&#1088;&#1099;\&#1052;&#1045;&#1058;&#1054;&#1044;\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>
        <row r="2">
          <cell r="J2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6"/>
  <sheetViews>
    <sheetView tabSelected="1" zoomScale="69" zoomScaleNormal="69" workbookViewId="0">
      <selection activeCell="P19" sqref="P19"/>
    </sheetView>
  </sheetViews>
  <sheetFormatPr defaultColWidth="10.875" defaultRowHeight="15.75" x14ac:dyDescent="0.25"/>
  <cols>
    <col min="1" max="1" width="26.375" style="38" customWidth="1"/>
    <col min="2" max="2" width="11.625" style="38" customWidth="1"/>
    <col min="3" max="3" width="13.375" style="38" customWidth="1"/>
    <col min="4" max="4" width="3.5" style="38" customWidth="1"/>
    <col min="5" max="5" width="31.125" style="38" customWidth="1"/>
    <col min="6" max="6" width="15.625" style="38" customWidth="1"/>
    <col min="7" max="7" width="13.125" style="38" customWidth="1"/>
    <col min="8" max="8" width="11.25" style="38" customWidth="1"/>
    <col min="9" max="9" width="14.875" style="38" customWidth="1"/>
    <col min="10" max="12" width="14.375" style="38" customWidth="1"/>
    <col min="13" max="13" width="15.875" style="38" customWidth="1"/>
    <col min="14" max="20" width="14.625" style="38" customWidth="1"/>
    <col min="21" max="23" width="16.875" style="38" customWidth="1"/>
    <col min="24" max="24" width="28.375" style="38" customWidth="1"/>
    <col min="25" max="25" width="20.375" style="38" customWidth="1"/>
    <col min="26" max="16384" width="10.875" style="38"/>
  </cols>
  <sheetData>
    <row r="1" spans="1:26" ht="16.149999999999999" customHeight="1" x14ac:dyDescent="0.25">
      <c r="I1" s="129"/>
      <c r="J1" s="129"/>
      <c r="K1" s="39"/>
      <c r="L1" s="39"/>
      <c r="M1" s="129"/>
      <c r="N1" s="129"/>
      <c r="O1" s="39"/>
      <c r="P1" s="39"/>
      <c r="Q1" s="39"/>
      <c r="R1" s="39"/>
      <c r="S1" s="39"/>
      <c r="T1" s="39"/>
      <c r="U1" s="40"/>
      <c r="V1" s="40"/>
      <c r="W1" s="40"/>
    </row>
    <row r="2" spans="1:26" ht="140.44999999999999" customHeight="1" x14ac:dyDescent="0.25">
      <c r="A2" s="136" t="s">
        <v>0</v>
      </c>
      <c r="B2" s="136"/>
      <c r="C2" s="133" t="s">
        <v>65</v>
      </c>
      <c r="D2" s="133"/>
      <c r="E2" s="50" t="s">
        <v>39</v>
      </c>
      <c r="F2" s="50" t="s">
        <v>37</v>
      </c>
      <c r="G2" s="50" t="s">
        <v>63</v>
      </c>
      <c r="H2" s="51" t="s">
        <v>42</v>
      </c>
      <c r="I2" s="51" t="s">
        <v>55</v>
      </c>
      <c r="J2" s="52" t="s">
        <v>66</v>
      </c>
      <c r="K2" s="52" t="s">
        <v>69</v>
      </c>
      <c r="L2" s="52" t="s">
        <v>74</v>
      </c>
      <c r="M2" s="51" t="s">
        <v>56</v>
      </c>
      <c r="N2" s="52" t="s">
        <v>67</v>
      </c>
      <c r="O2" s="52" t="s">
        <v>70</v>
      </c>
      <c r="P2" s="52" t="s">
        <v>75</v>
      </c>
      <c r="Q2" s="53" t="s">
        <v>61</v>
      </c>
      <c r="R2" s="54" t="s">
        <v>68</v>
      </c>
      <c r="S2" s="54" t="s">
        <v>71</v>
      </c>
      <c r="T2" s="54" t="s">
        <v>76</v>
      </c>
      <c r="U2" s="55" t="s">
        <v>58</v>
      </c>
      <c r="V2" s="55" t="s">
        <v>57</v>
      </c>
      <c r="W2" s="56" t="s">
        <v>62</v>
      </c>
      <c r="X2" s="57" t="s">
        <v>64</v>
      </c>
      <c r="Y2" s="130" t="s">
        <v>54</v>
      </c>
    </row>
    <row r="3" spans="1:26" ht="35.1" customHeight="1" x14ac:dyDescent="0.25">
      <c r="A3" s="137" t="s">
        <v>81</v>
      </c>
      <c r="B3" s="137"/>
      <c r="C3" s="134">
        <v>6102000</v>
      </c>
      <c r="D3" s="134"/>
      <c r="E3" s="58">
        <v>5000</v>
      </c>
      <c r="F3" s="84">
        <v>0.74399999999999999</v>
      </c>
      <c r="G3" s="58">
        <v>3720</v>
      </c>
      <c r="H3" s="85">
        <v>0.25</v>
      </c>
      <c r="I3" s="58">
        <v>1200</v>
      </c>
      <c r="J3" s="59">
        <f>ROUNDUP(MAX(F13:K13)*E4,-1)</f>
        <v>10810</v>
      </c>
      <c r="K3" s="59">
        <f>ROUNDUP(J3/G5*G6,-1)</f>
        <v>4810</v>
      </c>
      <c r="L3" s="104">
        <v>64</v>
      </c>
      <c r="M3" s="106">
        <v>50</v>
      </c>
      <c r="N3" s="59">
        <f>ROUNDUP(MAX(F13:K13)*G22*E5,-1)</f>
        <v>14840</v>
      </c>
      <c r="O3" s="59">
        <f>ROUNDUP(N3/G5*G6,-1)</f>
        <v>6600</v>
      </c>
      <c r="P3" s="104">
        <v>80</v>
      </c>
      <c r="Q3" s="60"/>
      <c r="R3" s="59">
        <f>ROUNDUP(MAX(F13:K13)*G26*E6,-1)</f>
        <v>0</v>
      </c>
      <c r="S3" s="59">
        <f>ROUNDUP(R3/G5*G6,-1)</f>
        <v>0</v>
      </c>
      <c r="T3" s="89"/>
      <c r="U3" s="59">
        <f>K3*I3</f>
        <v>5772000</v>
      </c>
      <c r="V3" s="59">
        <f>M3*O3</f>
        <v>330000</v>
      </c>
      <c r="W3" s="59">
        <f>Q3*S3</f>
        <v>0</v>
      </c>
      <c r="X3" s="61">
        <f>(U3+V3+W3)-('Стандартные программы'!L23+'Дистанционные программы'!L39+'Очно-заочные программы'!L39+'Адаптированные программы'!L11)</f>
        <v>302692.15999999997</v>
      </c>
      <c r="Y3" s="130"/>
    </row>
    <row r="4" spans="1:26" ht="50.45" customHeight="1" x14ac:dyDescent="0.25">
      <c r="A4" s="62"/>
      <c r="B4" s="132" t="s">
        <v>52</v>
      </c>
      <c r="C4" s="132"/>
      <c r="D4" s="132"/>
      <c r="E4" s="63">
        <v>102</v>
      </c>
      <c r="F4" s="131" t="str">
        <f>IF(G3&lt;F3*E3,"Охват недостаточен"," ")</f>
        <v xml:space="preserve"> </v>
      </c>
      <c r="G4" s="131"/>
      <c r="H4" s="131" t="str">
        <f>IF((I3+M3+Q3)&lt;H3*E3,"Охват недостаточен"," ")</f>
        <v xml:space="preserve"> </v>
      </c>
      <c r="I4" s="131"/>
      <c r="J4" s="143" t="s">
        <v>35</v>
      </c>
      <c r="K4" s="143"/>
      <c r="L4" s="143"/>
      <c r="M4" s="143"/>
      <c r="N4" s="143"/>
      <c r="O4" s="143"/>
      <c r="P4" s="143"/>
      <c r="Q4" s="143"/>
      <c r="R4" s="143"/>
      <c r="S4" s="83"/>
      <c r="T4" s="83"/>
      <c r="U4" s="64" t="str">
        <f>IF(C3&lt;(U3+V3+W3),(U3+V3+W3)-C3,"не требуется")</f>
        <v>не требуется</v>
      </c>
      <c r="V4" s="65"/>
      <c r="W4" s="65"/>
      <c r="X4" s="66">
        <f>X3/(U3+V3+W3)</f>
        <v>0.05</v>
      </c>
      <c r="Y4" s="42"/>
    </row>
    <row r="5" spans="1:26" ht="51.75" customHeight="1" x14ac:dyDescent="0.25">
      <c r="A5" s="29"/>
      <c r="B5" s="132" t="s">
        <v>53</v>
      </c>
      <c r="C5" s="132"/>
      <c r="D5" s="132"/>
      <c r="E5" s="63">
        <v>140</v>
      </c>
      <c r="F5" s="86" t="s">
        <v>8</v>
      </c>
      <c r="G5" s="87">
        <v>36</v>
      </c>
      <c r="H5" s="35"/>
      <c r="I5" s="35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1"/>
      <c r="V5" s="41"/>
      <c r="W5" s="41"/>
      <c r="X5" s="88">
        <f>X3/(MAX(F13:K13))</f>
        <v>2856</v>
      </c>
      <c r="Y5" s="141" t="s">
        <v>73</v>
      </c>
      <c r="Z5" s="141"/>
    </row>
    <row r="6" spans="1:26" ht="51.75" customHeight="1" x14ac:dyDescent="0.25">
      <c r="A6" s="29"/>
      <c r="B6" s="139" t="s">
        <v>59</v>
      </c>
      <c r="C6" s="139"/>
      <c r="D6" s="140"/>
      <c r="E6" s="63"/>
      <c r="F6" s="86" t="s">
        <v>72</v>
      </c>
      <c r="G6" s="87">
        <v>16</v>
      </c>
      <c r="H6" s="35"/>
      <c r="I6" s="35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1"/>
      <c r="V6" s="41"/>
      <c r="W6" s="41"/>
      <c r="X6" s="44"/>
      <c r="Y6" s="42"/>
    </row>
    <row r="7" spans="1:26" ht="33.75" customHeight="1" x14ac:dyDescent="0.25">
      <c r="A7" s="135" t="s">
        <v>25</v>
      </c>
      <c r="B7" s="135"/>
      <c r="C7" s="105">
        <v>30556.05</v>
      </c>
      <c r="D7" s="1"/>
      <c r="F7" s="138"/>
      <c r="G7" s="138"/>
      <c r="H7" s="138"/>
      <c r="I7" s="138"/>
      <c r="J7" s="138"/>
      <c r="K7" s="138"/>
      <c r="L7" s="138"/>
      <c r="M7" s="138"/>
      <c r="N7" s="100"/>
      <c r="O7" s="100"/>
      <c r="P7" s="91"/>
      <c r="Q7" s="91"/>
      <c r="R7" s="91"/>
      <c r="S7" s="91"/>
      <c r="T7" s="91"/>
      <c r="U7" s="103"/>
      <c r="V7" s="45"/>
      <c r="W7" s="45"/>
      <c r="X7" s="102"/>
      <c r="Y7" s="45"/>
    </row>
    <row r="8" spans="1:26" ht="46.15" customHeight="1" x14ac:dyDescent="0.25">
      <c r="A8" s="67" t="s">
        <v>10</v>
      </c>
      <c r="B8" s="68"/>
      <c r="C8" s="69">
        <v>0.3</v>
      </c>
      <c r="D8" s="46"/>
      <c r="E8" s="74" t="s">
        <v>9</v>
      </c>
      <c r="F8" s="99" t="s">
        <v>3</v>
      </c>
      <c r="G8" s="99" t="s">
        <v>4</v>
      </c>
      <c r="H8" s="99" t="s">
        <v>5</v>
      </c>
      <c r="I8" s="99" t="s">
        <v>6</v>
      </c>
      <c r="J8" s="99" t="s">
        <v>7</v>
      </c>
      <c r="K8" s="99" t="s">
        <v>40</v>
      </c>
    </row>
    <row r="9" spans="1:26" ht="30" customHeight="1" x14ac:dyDescent="0.35">
      <c r="A9" s="67" t="s">
        <v>12</v>
      </c>
      <c r="B9" s="68"/>
      <c r="C9" s="70">
        <v>750</v>
      </c>
      <c r="D9" s="46"/>
      <c r="E9" s="67" t="s">
        <v>32</v>
      </c>
      <c r="F9" s="58">
        <v>60</v>
      </c>
      <c r="G9" s="58">
        <v>60</v>
      </c>
      <c r="H9" s="58">
        <v>32</v>
      </c>
      <c r="I9" s="58">
        <v>120</v>
      </c>
      <c r="J9" s="58">
        <v>32</v>
      </c>
      <c r="K9" s="58">
        <v>80</v>
      </c>
      <c r="L9" s="92"/>
      <c r="N9" s="92"/>
      <c r="O9" s="92"/>
      <c r="P9" s="92"/>
      <c r="Q9" s="92"/>
      <c r="R9" s="92"/>
      <c r="S9" s="92"/>
      <c r="T9" s="92"/>
    </row>
    <row r="10" spans="1:26" ht="34.5" x14ac:dyDescent="0.35">
      <c r="A10" s="67" t="s">
        <v>14</v>
      </c>
      <c r="B10" s="68"/>
      <c r="C10" s="70">
        <v>2222</v>
      </c>
      <c r="D10" s="46"/>
      <c r="E10" s="67" t="s">
        <v>33</v>
      </c>
      <c r="F10" s="58">
        <v>216</v>
      </c>
      <c r="G10" s="58">
        <v>144</v>
      </c>
      <c r="H10" s="58">
        <v>216</v>
      </c>
      <c r="I10" s="58">
        <v>144</v>
      </c>
      <c r="J10" s="58">
        <v>216</v>
      </c>
      <c r="K10" s="58">
        <v>216</v>
      </c>
      <c r="L10" s="92"/>
      <c r="N10" s="92"/>
      <c r="O10" s="92"/>
      <c r="P10" s="92"/>
      <c r="Q10" s="92"/>
      <c r="R10" s="92"/>
      <c r="S10" s="92"/>
      <c r="T10" s="92"/>
    </row>
    <row r="11" spans="1:26" ht="47.25" x14ac:dyDescent="0.25">
      <c r="A11" s="67" t="s">
        <v>16</v>
      </c>
      <c r="B11" s="68"/>
      <c r="C11" s="126">
        <f>'Затраты на содержание УДО'!P18</f>
        <v>10</v>
      </c>
      <c r="E11" s="75" t="s">
        <v>11</v>
      </c>
      <c r="F11" s="76">
        <v>10</v>
      </c>
      <c r="G11" s="76">
        <v>5</v>
      </c>
      <c r="H11" s="76">
        <v>5</v>
      </c>
      <c r="I11" s="76">
        <v>10</v>
      </c>
      <c r="J11" s="76">
        <v>5</v>
      </c>
      <c r="K11" s="76">
        <v>15</v>
      </c>
      <c r="L11" s="93"/>
      <c r="N11" s="93"/>
      <c r="O11" s="93"/>
      <c r="P11" s="93"/>
      <c r="Q11" s="93"/>
      <c r="R11" s="93"/>
      <c r="S11" s="93"/>
      <c r="T11" s="93"/>
    </row>
    <row r="12" spans="1:26" ht="45" customHeight="1" x14ac:dyDescent="0.25">
      <c r="A12" s="67" t="s">
        <v>18</v>
      </c>
      <c r="B12" s="68"/>
      <c r="C12" s="71"/>
      <c r="E12" s="75" t="s">
        <v>13</v>
      </c>
      <c r="F12" s="76">
        <v>20</v>
      </c>
      <c r="G12" s="76">
        <v>15</v>
      </c>
      <c r="H12" s="76">
        <v>10</v>
      </c>
      <c r="I12" s="76">
        <v>30</v>
      </c>
      <c r="J12" s="76">
        <v>10</v>
      </c>
      <c r="K12" s="76">
        <v>25</v>
      </c>
      <c r="L12" s="93"/>
      <c r="N12" s="93"/>
      <c r="O12" s="93"/>
      <c r="P12" s="93"/>
      <c r="Q12" s="93"/>
      <c r="R12" s="93"/>
      <c r="S12" s="93"/>
      <c r="T12" s="93"/>
    </row>
    <row r="13" spans="1:26" ht="31.9" customHeight="1" x14ac:dyDescent="0.25">
      <c r="A13" s="72" t="s">
        <v>3</v>
      </c>
      <c r="B13" s="67"/>
      <c r="C13" s="70">
        <v>500000</v>
      </c>
      <c r="E13" s="77" t="s">
        <v>15</v>
      </c>
      <c r="F13" s="78">
        <f>SUM(F14:F18)</f>
        <v>63.68</v>
      </c>
      <c r="G13" s="78">
        <f t="shared" ref="G13:J13" si="0">SUM(G14:G18)</f>
        <v>88.9</v>
      </c>
      <c r="H13" s="78">
        <f t="shared" si="0"/>
        <v>105.97</v>
      </c>
      <c r="I13" s="78">
        <f t="shared" si="0"/>
        <v>48.69</v>
      </c>
      <c r="J13" s="78">
        <f t="shared" si="0"/>
        <v>104.91</v>
      </c>
      <c r="K13" s="78">
        <f>SUM(K14:K18)</f>
        <v>47.5</v>
      </c>
      <c r="L13" s="96"/>
      <c r="N13" s="94"/>
      <c r="O13" s="94"/>
      <c r="P13" s="94"/>
      <c r="Q13" s="94"/>
      <c r="R13" s="94"/>
      <c r="S13" s="94"/>
      <c r="T13" s="94"/>
    </row>
    <row r="14" spans="1:26" ht="31.5" customHeight="1" x14ac:dyDescent="0.25">
      <c r="A14" s="72" t="s">
        <v>4</v>
      </c>
      <c r="B14" s="67"/>
      <c r="C14" s="70">
        <v>400000</v>
      </c>
      <c r="E14" s="67" t="s">
        <v>17</v>
      </c>
      <c r="F14" s="79">
        <f t="shared" ref="F14:J14" si="1">$C$7*12*1.302/F9/F10</f>
        <v>36.840000000000003</v>
      </c>
      <c r="G14" s="79">
        <f t="shared" si="1"/>
        <v>55.26</v>
      </c>
      <c r="H14" s="79">
        <f t="shared" si="1"/>
        <v>69.069999999999993</v>
      </c>
      <c r="I14" s="79">
        <f t="shared" si="1"/>
        <v>27.63</v>
      </c>
      <c r="J14" s="79">
        <f t="shared" si="1"/>
        <v>69.069999999999993</v>
      </c>
      <c r="K14" s="79">
        <f>$C$7*12*1.302/K9/K10</f>
        <v>27.63</v>
      </c>
      <c r="L14" s="97"/>
      <c r="N14" s="48"/>
      <c r="O14" s="48"/>
      <c r="P14" s="48"/>
      <c r="Q14" s="48"/>
      <c r="R14" s="48"/>
      <c r="S14" s="48"/>
      <c r="T14" s="48"/>
    </row>
    <row r="15" spans="1:26" ht="30.75" customHeight="1" x14ac:dyDescent="0.25">
      <c r="A15" s="72" t="s">
        <v>5</v>
      </c>
      <c r="B15" s="67"/>
      <c r="C15" s="70">
        <v>250000</v>
      </c>
      <c r="E15" s="67" t="s">
        <v>19</v>
      </c>
      <c r="F15" s="79">
        <f t="shared" ref="F15:J15" si="2">F14*$C$8</f>
        <v>11.05</v>
      </c>
      <c r="G15" s="79">
        <f t="shared" si="2"/>
        <v>16.579999999999998</v>
      </c>
      <c r="H15" s="79">
        <f t="shared" si="2"/>
        <v>20.72</v>
      </c>
      <c r="I15" s="79">
        <f t="shared" si="2"/>
        <v>8.2899999999999991</v>
      </c>
      <c r="J15" s="79">
        <f t="shared" si="2"/>
        <v>20.72</v>
      </c>
      <c r="K15" s="79">
        <f>K14*$C$8</f>
        <v>8.2899999999999991</v>
      </c>
      <c r="L15" s="97"/>
      <c r="N15" s="48"/>
      <c r="O15" s="48"/>
      <c r="P15" s="48"/>
      <c r="Q15" s="48"/>
      <c r="R15" s="48"/>
      <c r="S15" s="48"/>
      <c r="T15" s="48"/>
    </row>
    <row r="16" spans="1:26" ht="31.5" customHeight="1" x14ac:dyDescent="0.25">
      <c r="A16" s="72" t="s">
        <v>6</v>
      </c>
      <c r="B16" s="67"/>
      <c r="C16" s="70">
        <v>300000</v>
      </c>
      <c r="E16" s="67" t="s">
        <v>20</v>
      </c>
      <c r="F16" s="80">
        <f>($C$9*14)/3/F9/F10+$C$10/F9/F10</f>
        <v>0.44</v>
      </c>
      <c r="G16" s="80">
        <f t="shared" ref="G16:J16" si="3">($C$9*14)/3/G9/G10+$C$10/G9/G10</f>
        <v>0.66</v>
      </c>
      <c r="H16" s="80">
        <f t="shared" si="3"/>
        <v>0.83</v>
      </c>
      <c r="I16" s="80">
        <f t="shared" si="3"/>
        <v>0.33</v>
      </c>
      <c r="J16" s="80">
        <f t="shared" si="3"/>
        <v>0.83</v>
      </c>
      <c r="K16" s="80">
        <f>($C$9*14)/3/K9/K10+$C$10/K9/K10</f>
        <v>0.33</v>
      </c>
      <c r="L16" s="97"/>
      <c r="N16" s="48"/>
      <c r="O16" s="48"/>
      <c r="P16" s="48"/>
      <c r="Q16" s="48"/>
      <c r="R16" s="48"/>
      <c r="S16" s="48"/>
      <c r="T16" s="48"/>
    </row>
    <row r="17" spans="1:20" ht="31.5" customHeight="1" x14ac:dyDescent="0.25">
      <c r="A17" s="72" t="s">
        <v>7</v>
      </c>
      <c r="B17" s="67"/>
      <c r="C17" s="70">
        <v>200000</v>
      </c>
      <c r="E17" s="67" t="s">
        <v>21</v>
      </c>
      <c r="F17" s="79">
        <f t="shared" ref="F17:J17" si="4">((VLOOKUP(F8,$A$13:$C$18,3,FALSE))/7/$C$19/(AVERAGE(F11,F12)))+(($C$20*0.5)/5/$C$19)</f>
        <v>5.35</v>
      </c>
      <c r="G17" s="79">
        <f t="shared" si="4"/>
        <v>6.4</v>
      </c>
      <c r="H17" s="79">
        <f t="shared" si="4"/>
        <v>5.35</v>
      </c>
      <c r="I17" s="79">
        <f t="shared" si="4"/>
        <v>2.44</v>
      </c>
      <c r="J17" s="79">
        <f t="shared" si="4"/>
        <v>4.29</v>
      </c>
      <c r="K17" s="79">
        <f>((VLOOKUP(K8,$A$13:$C$18,3,FALSE))/7/$C$19/(AVERAGE(K11,K12)))+(($C$20*0.5)/5/$C$19)</f>
        <v>1.25</v>
      </c>
      <c r="L17" s="97"/>
      <c r="N17" s="48"/>
      <c r="O17" s="48"/>
      <c r="P17" s="48"/>
      <c r="Q17" s="48"/>
      <c r="R17" s="48"/>
      <c r="S17" s="48"/>
      <c r="T17" s="48"/>
    </row>
    <row r="18" spans="1:20" ht="31.5" x14ac:dyDescent="0.25">
      <c r="A18" s="73" t="s">
        <v>40</v>
      </c>
      <c r="B18" s="49"/>
      <c r="C18" s="70">
        <v>150000</v>
      </c>
      <c r="E18" s="67" t="s">
        <v>22</v>
      </c>
      <c r="F18" s="79">
        <f t="shared" ref="F18:K18" si="5">$C$11</f>
        <v>10</v>
      </c>
      <c r="G18" s="79">
        <f t="shared" si="5"/>
        <v>10</v>
      </c>
      <c r="H18" s="79">
        <f t="shared" si="5"/>
        <v>10</v>
      </c>
      <c r="I18" s="79">
        <f t="shared" si="5"/>
        <v>10</v>
      </c>
      <c r="J18" s="79">
        <f t="shared" si="5"/>
        <v>10</v>
      </c>
      <c r="K18" s="79">
        <f t="shared" si="5"/>
        <v>10</v>
      </c>
      <c r="L18" s="97"/>
      <c r="N18" s="48"/>
      <c r="O18" s="48"/>
      <c r="P18" s="48"/>
      <c r="Q18" s="48"/>
      <c r="R18" s="48"/>
      <c r="S18" s="48"/>
      <c r="T18" s="48"/>
    </row>
    <row r="19" spans="1:20" ht="47.25" x14ac:dyDescent="0.25">
      <c r="A19" s="49" t="s">
        <v>23</v>
      </c>
      <c r="B19" s="68"/>
      <c r="C19" s="70">
        <v>900</v>
      </c>
      <c r="E19" s="81" t="s">
        <v>38</v>
      </c>
      <c r="F19" s="82">
        <f>F9/(F11+F12)*2*(F10/36)</f>
        <v>24</v>
      </c>
      <c r="G19" s="82">
        <f t="shared" ref="G19:J19" si="6">G9/(G11+G12)*2*(G10/36)</f>
        <v>24</v>
      </c>
      <c r="H19" s="82">
        <f t="shared" si="6"/>
        <v>25.6</v>
      </c>
      <c r="I19" s="82">
        <f t="shared" si="6"/>
        <v>24</v>
      </c>
      <c r="J19" s="82">
        <f t="shared" si="6"/>
        <v>25.6</v>
      </c>
      <c r="K19" s="82">
        <f>K9/(K11+K12)*2*(K10/36)</f>
        <v>24</v>
      </c>
      <c r="L19" s="98"/>
      <c r="N19" s="95"/>
      <c r="O19" s="95"/>
      <c r="P19" s="95"/>
      <c r="Q19" s="95"/>
      <c r="R19" s="95"/>
      <c r="S19" s="95"/>
      <c r="T19" s="95"/>
    </row>
    <row r="20" spans="1:20" x14ac:dyDescent="0.25">
      <c r="A20" s="49" t="s">
        <v>24</v>
      </c>
      <c r="B20" s="68"/>
      <c r="C20" s="69">
        <v>500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21" customHeight="1" x14ac:dyDescent="0.35">
      <c r="E21" s="145" t="s">
        <v>47</v>
      </c>
      <c r="F21" s="145"/>
      <c r="G21" s="145"/>
      <c r="H21" s="145"/>
      <c r="I21" s="145"/>
      <c r="J21" s="145"/>
      <c r="K21" s="145"/>
      <c r="L21" s="145"/>
      <c r="M21" s="145"/>
      <c r="N21" s="90"/>
      <c r="O21" s="90"/>
      <c r="P21" s="90"/>
      <c r="Q21" s="90"/>
      <c r="R21" s="90"/>
      <c r="S21" s="90"/>
      <c r="T21" s="90"/>
    </row>
    <row r="22" spans="1:20" ht="29.25" customHeight="1" x14ac:dyDescent="0.25">
      <c r="E22" s="144" t="s">
        <v>48</v>
      </c>
      <c r="F22" s="144"/>
      <c r="G22" s="146">
        <v>1</v>
      </c>
    </row>
    <row r="23" spans="1:20" ht="29.25" customHeight="1" x14ac:dyDescent="0.25">
      <c r="E23" s="144"/>
      <c r="F23" s="144"/>
      <c r="G23" s="146"/>
      <c r="H23" s="47"/>
      <c r="I23" s="47"/>
    </row>
    <row r="24" spans="1:20" ht="29.25" customHeight="1" x14ac:dyDescent="0.25">
      <c r="E24" s="144" t="s">
        <v>49</v>
      </c>
      <c r="F24" s="144"/>
      <c r="G24" s="36">
        <v>1</v>
      </c>
    </row>
    <row r="25" spans="1:20" ht="29.25" customHeight="1" x14ac:dyDescent="0.25">
      <c r="E25" s="144" t="s">
        <v>50</v>
      </c>
      <c r="F25" s="144"/>
      <c r="G25" s="36">
        <v>1</v>
      </c>
    </row>
    <row r="26" spans="1:20" x14ac:dyDescent="0.25">
      <c r="E26" s="142" t="s">
        <v>60</v>
      </c>
      <c r="F26" s="142"/>
      <c r="G26" s="37"/>
    </row>
  </sheetData>
  <sheetProtection formatCells="0" formatColumns="0" formatRows="0"/>
  <mergeCells count="22">
    <mergeCell ref="Y5:Z5"/>
    <mergeCell ref="E26:F26"/>
    <mergeCell ref="J4:R4"/>
    <mergeCell ref="E24:F24"/>
    <mergeCell ref="E25:F25"/>
    <mergeCell ref="E21:M21"/>
    <mergeCell ref="E22:F23"/>
    <mergeCell ref="G22:G23"/>
    <mergeCell ref="A7:B7"/>
    <mergeCell ref="A2:B2"/>
    <mergeCell ref="A3:B3"/>
    <mergeCell ref="F7:M7"/>
    <mergeCell ref="B5:D5"/>
    <mergeCell ref="B6:D6"/>
    <mergeCell ref="I1:J1"/>
    <mergeCell ref="M1:N1"/>
    <mergeCell ref="Y2:Y3"/>
    <mergeCell ref="H4:I4"/>
    <mergeCell ref="B4:D4"/>
    <mergeCell ref="C2:D2"/>
    <mergeCell ref="C3:D3"/>
    <mergeCell ref="F4:G4"/>
  </mergeCells>
  <pageMargins left="0.19" right="0.19" top="0.23" bottom="0.32" header="0.25" footer="0.31496062992125984"/>
  <pageSetup paperSize="9" scale="58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6655E60-450E-43FA-9E7B-FB7C510DD65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A5</xm:sqref>
        </x14:conditionalFormatting>
        <x14:conditionalFormatting xmlns:xm="http://schemas.microsoft.com/office/excel/2006/main">
          <x14:cfRule type="iconSet" priority="6" id="{99B02640-7508-491D-8F19-328C8981611E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C2</xm:sqref>
        </x14:conditionalFormatting>
        <x14:conditionalFormatting xmlns:xm="http://schemas.microsoft.com/office/excel/2006/main">
          <x14:cfRule type="iconSet" priority="5" id="{7604D76A-B52B-412A-B449-B46F65451A58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4" id="{A320CDA7-3384-40C5-BC53-0D20F2A4A60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J2:L2</xm:sqref>
        </x14:conditionalFormatting>
        <x14:conditionalFormatting xmlns:xm="http://schemas.microsoft.com/office/excel/2006/main">
          <x14:cfRule type="iconSet" priority="3" id="{629F1DC0-465A-45F4-A7A0-28566B018EA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  <x14:conditionalFormatting xmlns:xm="http://schemas.microsoft.com/office/excel/2006/main">
          <x14:cfRule type="iconSet" priority="1" id="{4FE44E6D-EB1C-4C1C-B168-A902BF7B8A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5"/>
  <sheetViews>
    <sheetView zoomScale="80" zoomScaleNormal="80" workbookViewId="0">
      <selection activeCell="H17" sqref="H17"/>
    </sheetView>
  </sheetViews>
  <sheetFormatPr defaultColWidth="11" defaultRowHeight="15.75" x14ac:dyDescent="0.25"/>
  <cols>
    <col min="1" max="1" width="23.875" style="10" customWidth="1"/>
    <col min="2" max="2" width="34.5" style="10" customWidth="1"/>
    <col min="3" max="3" width="24.125" style="10" customWidth="1"/>
    <col min="4" max="4" width="11.5" style="10" customWidth="1"/>
    <col min="5" max="5" width="15" style="10" customWidth="1"/>
    <col min="6" max="6" width="12.125" style="11" customWidth="1"/>
    <col min="7" max="7" width="11.5" style="11" customWidth="1"/>
    <col min="8" max="8" width="12.5" style="12" customWidth="1"/>
    <col min="9" max="9" width="10.625" style="9" customWidth="1"/>
    <col min="10" max="10" width="11.125" style="9" customWidth="1"/>
    <col min="11" max="11" width="15.625" customWidth="1"/>
    <col min="12" max="12" width="13.875" style="9" customWidth="1"/>
    <col min="13" max="13" width="16.125" style="9" customWidth="1"/>
    <col min="14" max="14" width="19.125" style="27" customWidth="1"/>
    <col min="15" max="15" width="16.25" customWidth="1"/>
    <col min="16" max="16" width="1.875" style="23" customWidth="1"/>
  </cols>
  <sheetData>
    <row r="1" spans="1:18" s="2" customFormat="1" ht="83.25" customHeight="1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43</v>
      </c>
      <c r="F1" s="14" t="s">
        <v>31</v>
      </c>
      <c r="G1" s="14" t="s">
        <v>28</v>
      </c>
      <c r="H1" s="15" t="s">
        <v>79</v>
      </c>
      <c r="I1" s="16" t="s">
        <v>29</v>
      </c>
      <c r="J1" s="16" t="s">
        <v>44</v>
      </c>
      <c r="K1" s="28" t="s">
        <v>45</v>
      </c>
      <c r="L1" s="16" t="s">
        <v>34</v>
      </c>
      <c r="M1" s="16" t="s">
        <v>41</v>
      </c>
      <c r="N1" s="24" t="s">
        <v>46</v>
      </c>
      <c r="P1" s="22"/>
    </row>
    <row r="2" spans="1:18" x14ac:dyDescent="0.25">
      <c r="A2" s="3" t="s">
        <v>93</v>
      </c>
      <c r="B2" s="3" t="s">
        <v>82</v>
      </c>
      <c r="C2" s="3" t="s">
        <v>7</v>
      </c>
      <c r="D2" s="18">
        <v>52</v>
      </c>
      <c r="E2" s="18">
        <v>17</v>
      </c>
      <c r="F2" s="19">
        <v>3</v>
      </c>
      <c r="G2" s="19">
        <v>120</v>
      </c>
      <c r="H2" s="20">
        <v>80.36</v>
      </c>
      <c r="I2" s="4">
        <f>HLOOKUP($C2,'Параметры ПФ'!$F$8:$K$13,6,FALSE)</f>
        <v>104.91</v>
      </c>
      <c r="J2" s="4">
        <f>IF(H2=0,I2*F2*E2,IF(I2&gt;H2,H2*F2*E2,I2*F2*E2))</f>
        <v>4098.3599999999997</v>
      </c>
      <c r="K2" s="5">
        <f>IF(J2&lt;'Параметры ПФ'!K$3+0.01,'Стандартные программы'!J2,ROUNDDOWN('Параметры ПФ'!K$3/IF(H2=0,I2,IF(I2&gt;H2,H2,I2)),0)*IF(H2=0,I2,IF(I2&gt;H2,H2,I2)))</f>
        <v>4098.3599999999997</v>
      </c>
      <c r="L2" s="4">
        <f t="shared" ref="L2:L11" si="0">K2*G2</f>
        <v>491803.2</v>
      </c>
      <c r="M2" s="30">
        <f>IF(J2&lt;'Параметры ПФ'!K$3+0.01,E2*F2*G2,ROUNDDOWN('Параметры ПФ'!K$3/IF(H2=0,I2,IF(I2&gt;H2,H2,I2)),0)*G2)</f>
        <v>6120</v>
      </c>
      <c r="N2" s="25">
        <f>IF(H2=0,I2*F2*E2,IF(I2&gt;H2,H2*F2*E2,I2*F2*E2))-K2</f>
        <v>0</v>
      </c>
      <c r="O2" s="101"/>
      <c r="Q2" s="101"/>
      <c r="R2" s="101"/>
    </row>
    <row r="3" spans="1:18" x14ac:dyDescent="0.25">
      <c r="A3" s="3" t="s">
        <v>93</v>
      </c>
      <c r="B3" s="3" t="s">
        <v>83</v>
      </c>
      <c r="C3" s="3" t="s">
        <v>7</v>
      </c>
      <c r="D3" s="18">
        <v>52</v>
      </c>
      <c r="E3" s="18">
        <v>17</v>
      </c>
      <c r="F3" s="19">
        <v>3</v>
      </c>
      <c r="G3" s="19">
        <v>200</v>
      </c>
      <c r="H3" s="20">
        <v>80.36</v>
      </c>
      <c r="I3" s="4">
        <f>HLOOKUP($C3,'Параметры ПФ'!$F$8:$K$13,6,FALSE)</f>
        <v>104.91</v>
      </c>
      <c r="J3" s="4">
        <f t="shared" ref="J3:J11" si="1">IF(H3=0,I3*F3*E3,IF(I3&gt;H3,H3*F3*E3,I3*F3*E3))</f>
        <v>4098.3599999999997</v>
      </c>
      <c r="K3" s="5">
        <f>IF(J3&lt;'Параметры ПФ'!K$3+0.01,'Стандартные программы'!J3,ROUNDDOWN('Параметры ПФ'!K$3/IF(H3=0,I3,IF(I3&gt;H3,H3,I3)),0)*IF(H3=0,I3,IF(I3&gt;H3,H3,I3)))</f>
        <v>4098.3599999999997</v>
      </c>
      <c r="L3" s="4">
        <f t="shared" si="0"/>
        <v>819672</v>
      </c>
      <c r="M3" s="30">
        <f>IF(J3&lt;'Параметры ПФ'!K$3+0.01,E3*F3*G3,ROUNDDOWN('Параметры ПФ'!K$3/IF(H3=0,I3,IF(I3&gt;H3,H3,I3)),0)*G3)</f>
        <v>10200</v>
      </c>
      <c r="N3" s="25">
        <f t="shared" ref="N3:N11" si="2">IF(H3=0,I3*F3*E3,IF(I3&gt;H3,H3*F3*E3,I3*F3*E3))-K3</f>
        <v>0</v>
      </c>
      <c r="O3" s="101"/>
    </row>
    <row r="4" spans="1:18" x14ac:dyDescent="0.25">
      <c r="A4" s="3" t="s">
        <v>93</v>
      </c>
      <c r="B4" s="3" t="s">
        <v>84</v>
      </c>
      <c r="C4" s="3" t="s">
        <v>7</v>
      </c>
      <c r="D4" s="18">
        <v>52</v>
      </c>
      <c r="E4" s="18">
        <v>17</v>
      </c>
      <c r="F4" s="19">
        <v>3</v>
      </c>
      <c r="G4" s="19">
        <v>300</v>
      </c>
      <c r="H4" s="20">
        <v>80.36</v>
      </c>
      <c r="I4" s="4">
        <f>HLOOKUP($C4,'Параметры ПФ'!$F$8:$K$13,6,FALSE)</f>
        <v>104.91</v>
      </c>
      <c r="J4" s="4">
        <f t="shared" si="1"/>
        <v>4098.3599999999997</v>
      </c>
      <c r="K4" s="5">
        <f>IF(J4&lt;'Параметры ПФ'!K$3+0.01,'Стандартные программы'!J4,ROUNDDOWN('Параметры ПФ'!K$3/IF(H4=0,I4,IF(I4&gt;H4,H4,I4)),0)*IF(H4=0,I4,IF(I4&gt;H4,H4,I4)))</f>
        <v>4098.3599999999997</v>
      </c>
      <c r="L4" s="4">
        <f t="shared" si="0"/>
        <v>1229508</v>
      </c>
      <c r="M4" s="30">
        <f>IF(J4&lt;'Параметры ПФ'!K$3+0.01,E4*F4*G4,ROUNDDOWN('Параметры ПФ'!K$3/IF(H4=0,I4,IF(I4&gt;H4,H4,I4)),0)*G4)</f>
        <v>15300</v>
      </c>
      <c r="N4" s="25">
        <f t="shared" si="2"/>
        <v>0</v>
      </c>
    </row>
    <row r="5" spans="1:18" x14ac:dyDescent="0.25">
      <c r="A5" s="3" t="s">
        <v>94</v>
      </c>
      <c r="B5" s="3" t="s">
        <v>85</v>
      </c>
      <c r="C5" s="3" t="s">
        <v>4</v>
      </c>
      <c r="D5" s="18">
        <v>36</v>
      </c>
      <c r="E5" s="18">
        <v>16</v>
      </c>
      <c r="F5" s="19">
        <v>2</v>
      </c>
      <c r="G5" s="19">
        <v>100</v>
      </c>
      <c r="H5" s="20">
        <v>75.849999999999994</v>
      </c>
      <c r="I5" s="4">
        <f>HLOOKUP($C5,'Параметры ПФ'!$F$8:$K$13,6,FALSE)</f>
        <v>88.9</v>
      </c>
      <c r="J5" s="4">
        <f t="shared" si="1"/>
        <v>2427.1999999999998</v>
      </c>
      <c r="K5" s="5">
        <f>IF(J5&lt;'Параметры ПФ'!K$3+0.01,'Стандартные программы'!J5,ROUNDDOWN('Параметры ПФ'!K$3/IF(H5=0,I5,IF(I5&gt;H5,H5,I5)),0)*IF(H5=0,I5,IF(I5&gt;H5,H5,I5)))</f>
        <v>2427.1999999999998</v>
      </c>
      <c r="L5" s="4">
        <f t="shared" si="0"/>
        <v>242720</v>
      </c>
      <c r="M5" s="30">
        <f>IF(J5&lt;'Параметры ПФ'!K$3+0.01,E5*F5*G5,ROUNDDOWN('Параметры ПФ'!K$3/IF(H5=0,I5,IF(I5&gt;H5,H5,I5)),0)*G5)</f>
        <v>3200</v>
      </c>
      <c r="N5" s="25">
        <f t="shared" si="2"/>
        <v>0</v>
      </c>
    </row>
    <row r="6" spans="1:18" x14ac:dyDescent="0.25">
      <c r="A6" s="3" t="s">
        <v>94</v>
      </c>
      <c r="B6" s="3" t="s">
        <v>86</v>
      </c>
      <c r="C6" s="3" t="s">
        <v>6</v>
      </c>
      <c r="D6" s="18">
        <v>36</v>
      </c>
      <c r="E6" s="18">
        <v>16</v>
      </c>
      <c r="F6" s="19">
        <v>2</v>
      </c>
      <c r="G6" s="19">
        <v>120</v>
      </c>
      <c r="H6" s="20">
        <v>38.24</v>
      </c>
      <c r="I6" s="4">
        <f>HLOOKUP($C6,'Параметры ПФ'!$F$8:$K$13,6,FALSE)</f>
        <v>48.69</v>
      </c>
      <c r="J6" s="4">
        <f t="shared" si="1"/>
        <v>1223.68</v>
      </c>
      <c r="K6" s="5">
        <f>IF(J6&lt;'Параметры ПФ'!K$3+0.01,'Стандартные программы'!J6,ROUNDDOWN('Параметры ПФ'!K$3/IF(H6=0,I6,IF(I6&gt;H6,H6,I6)),0)*IF(H6=0,I6,IF(I6&gt;H6,H6,I6)))</f>
        <v>1223.68</v>
      </c>
      <c r="L6" s="4">
        <f t="shared" si="0"/>
        <v>146841.60000000001</v>
      </c>
      <c r="M6" s="30">
        <f>IF(J6&lt;'Параметры ПФ'!K$3+0.01,E6*F6*G6,ROUNDDOWN('Параметры ПФ'!K$3/IF(H6=0,I6,IF(I6&gt;H6,H6,I6)),0)*G6)</f>
        <v>3840</v>
      </c>
      <c r="N6" s="25">
        <f t="shared" si="2"/>
        <v>0</v>
      </c>
      <c r="P6" s="23">
        <f>IF(N6=0,0,IF(N6&gt;'[1]Расчет нормативных затрат'!J$2/2,0,IF(N6&lt;'[1]Расчет нормативных затрат'!J$2/3,2,1)))</f>
        <v>0</v>
      </c>
    </row>
    <row r="7" spans="1:18" x14ac:dyDescent="0.25">
      <c r="A7" s="3" t="s">
        <v>94</v>
      </c>
      <c r="B7" s="3" t="s">
        <v>87</v>
      </c>
      <c r="C7" s="3" t="s">
        <v>3</v>
      </c>
      <c r="D7" s="18">
        <v>36</v>
      </c>
      <c r="E7" s="18">
        <v>16</v>
      </c>
      <c r="F7" s="19">
        <v>3</v>
      </c>
      <c r="G7" s="19">
        <v>123</v>
      </c>
      <c r="H7" s="20">
        <v>58.01</v>
      </c>
      <c r="I7" s="4">
        <f>HLOOKUP($C7,'Параметры ПФ'!$F$8:$K$13,6,FALSE)</f>
        <v>63.68</v>
      </c>
      <c r="J7" s="4">
        <f t="shared" si="1"/>
        <v>2784.48</v>
      </c>
      <c r="K7" s="5">
        <f>IF(J7&lt;'Параметры ПФ'!K$3+0.01,'Стандартные программы'!J7,ROUNDDOWN('Параметры ПФ'!K$3/IF(H7=0,I7,IF(I7&gt;H7,H7,I7)),0)*IF(H7=0,I7,IF(I7&gt;H7,H7,I7)))</f>
        <v>2784.48</v>
      </c>
      <c r="L7" s="4">
        <f t="shared" si="0"/>
        <v>342491.04</v>
      </c>
      <c r="M7" s="30">
        <f>IF(J7&lt;'Параметры ПФ'!K$3+0.01,E7*F7*G7,ROUNDDOWN('Параметры ПФ'!K$3/IF(H7=0,I7,IF(I7&gt;H7,H7,I7)),0)*G7)</f>
        <v>5904</v>
      </c>
      <c r="N7" s="25">
        <f t="shared" si="2"/>
        <v>0</v>
      </c>
      <c r="P7" s="23">
        <f>IF(N7=0,0,IF(N7&gt;'[1]Расчет нормативных затрат'!J$2/2,0,IF(N7&lt;'[1]Расчет нормативных затрат'!J$2/3,2,1)))</f>
        <v>0</v>
      </c>
    </row>
    <row r="8" spans="1:18" x14ac:dyDescent="0.25">
      <c r="A8" s="3" t="s">
        <v>94</v>
      </c>
      <c r="B8" s="3" t="s">
        <v>88</v>
      </c>
      <c r="C8" s="3" t="s">
        <v>40</v>
      </c>
      <c r="D8" s="18">
        <v>36</v>
      </c>
      <c r="E8" s="18">
        <v>16</v>
      </c>
      <c r="F8" s="19">
        <v>4</v>
      </c>
      <c r="G8" s="19">
        <v>200</v>
      </c>
      <c r="H8" s="20">
        <v>43</v>
      </c>
      <c r="I8" s="4">
        <f>HLOOKUP($C8,'Параметры ПФ'!$F$8:$K$13,6,FALSE)</f>
        <v>47.5</v>
      </c>
      <c r="J8" s="4">
        <f t="shared" si="1"/>
        <v>2752</v>
      </c>
      <c r="K8" s="5">
        <f>IF(J8&lt;'Параметры ПФ'!K$3+0.01,'Стандартные программы'!J8,ROUNDDOWN('Параметры ПФ'!K$3/IF(H8=0,I8,IF(I8&gt;H8,H8,I8)),0)*IF(H8=0,I8,IF(I8&gt;H8,H8,I8)))</f>
        <v>2752</v>
      </c>
      <c r="L8" s="4">
        <f t="shared" si="0"/>
        <v>550400</v>
      </c>
      <c r="M8" s="30">
        <f>IF(J8&lt;'Параметры ПФ'!K$3+0.01,E8*F8*G8,ROUNDDOWN('Параметры ПФ'!K$3/IF(H8=0,I8,IF(I8&gt;H8,H8,I8)),0)*G8)</f>
        <v>12800</v>
      </c>
      <c r="N8" s="25">
        <f t="shared" si="2"/>
        <v>0</v>
      </c>
      <c r="P8" s="23">
        <f>IF(N8=0,0,IF(N8&gt;'[1]Расчет нормативных затрат'!J$2/2,0,IF(N8&lt;'[1]Расчет нормативных затрат'!J$2/3,2,1)))</f>
        <v>0</v>
      </c>
    </row>
    <row r="9" spans="1:18" x14ac:dyDescent="0.25">
      <c r="A9" s="3" t="s">
        <v>94</v>
      </c>
      <c r="B9" s="3" t="s">
        <v>89</v>
      </c>
      <c r="C9" s="3" t="s">
        <v>5</v>
      </c>
      <c r="D9" s="18">
        <v>36</v>
      </c>
      <c r="E9" s="18">
        <v>16</v>
      </c>
      <c r="F9" s="19">
        <v>2</v>
      </c>
      <c r="G9" s="19">
        <v>85</v>
      </c>
      <c r="H9" s="20">
        <v>99.36</v>
      </c>
      <c r="I9" s="4">
        <f>HLOOKUP($C9,'Параметры ПФ'!$F$8:$K$13,6,FALSE)</f>
        <v>105.97</v>
      </c>
      <c r="J9" s="4">
        <f t="shared" si="1"/>
        <v>3179.52</v>
      </c>
      <c r="K9" s="5">
        <f>IF(J9&lt;'Параметры ПФ'!K$3+0.01,'Стандартные программы'!J9,ROUNDDOWN('Параметры ПФ'!K$3/IF(H9=0,I9,IF(I9&gt;H9,H9,I9)),0)*IF(H9=0,I9,IF(I9&gt;H9,H9,I9)))</f>
        <v>3179.52</v>
      </c>
      <c r="L9" s="4">
        <f t="shared" si="0"/>
        <v>270259.20000000001</v>
      </c>
      <c r="M9" s="30">
        <f>IF(J9&lt;'Параметры ПФ'!K$3+0.01,E9*F9*G9,ROUNDDOWN('Параметры ПФ'!K$3/IF(H9=0,I9,IF(I9&gt;H9,H9,I9)),0)*G9)</f>
        <v>2720</v>
      </c>
      <c r="N9" s="25">
        <f t="shared" si="2"/>
        <v>0</v>
      </c>
      <c r="P9" s="23">
        <f>IF(N9=0,0,IF(N9&gt;'[1]Расчет нормативных затрат'!J$2/2,0,IF(N9&lt;'[1]Расчет нормативных затрат'!J$2/3,2,1)))</f>
        <v>0</v>
      </c>
    </row>
    <row r="10" spans="1:18" x14ac:dyDescent="0.25">
      <c r="A10" s="3" t="s">
        <v>94</v>
      </c>
      <c r="B10" s="3" t="s">
        <v>90</v>
      </c>
      <c r="C10" s="3" t="s">
        <v>40</v>
      </c>
      <c r="D10" s="18">
        <v>36</v>
      </c>
      <c r="E10" s="18">
        <v>16</v>
      </c>
      <c r="F10" s="19">
        <v>2</v>
      </c>
      <c r="G10" s="19">
        <v>100</v>
      </c>
      <c r="H10" s="20">
        <v>43</v>
      </c>
      <c r="I10" s="4">
        <f>HLOOKUP($C10,'Параметры ПФ'!$F$8:$K$13,6,FALSE)</f>
        <v>47.5</v>
      </c>
      <c r="J10" s="4">
        <f t="shared" si="1"/>
        <v>1376</v>
      </c>
      <c r="K10" s="5">
        <f>IF(J10&lt;'Параметры ПФ'!K$3+0.01,'Стандартные программы'!J10,ROUNDDOWN('Параметры ПФ'!K$3/IF(H10=0,I10,IF(I10&gt;H10,H10,I10)),0)*IF(H10=0,I10,IF(I10&gt;H10,H10,I10)))</f>
        <v>1376</v>
      </c>
      <c r="L10" s="4">
        <f t="shared" si="0"/>
        <v>137600</v>
      </c>
      <c r="M10" s="30">
        <f>IF(J10&lt;'Параметры ПФ'!K$3+0.01,E10*F10*G10,ROUNDDOWN('Параметры ПФ'!K$3/IF(H10=0,I10,IF(I10&gt;H10,H10,I10)),0)*G10)</f>
        <v>3200</v>
      </c>
      <c r="N10" s="25">
        <f t="shared" si="2"/>
        <v>0</v>
      </c>
      <c r="P10" s="23">
        <f>IF(N10=0,0,IF(N10&gt;'[1]Расчет нормативных затрат'!J$2/2,0,IF(N10&lt;'[1]Расчет нормативных затрат'!J$2/3,2,1)))</f>
        <v>0</v>
      </c>
    </row>
    <row r="11" spans="1:18" x14ac:dyDescent="0.25">
      <c r="A11" s="3" t="s">
        <v>94</v>
      </c>
      <c r="B11" s="3" t="s">
        <v>91</v>
      </c>
      <c r="C11" s="3" t="s">
        <v>5</v>
      </c>
      <c r="D11" s="18">
        <v>36</v>
      </c>
      <c r="E11" s="18">
        <v>16</v>
      </c>
      <c r="F11" s="19">
        <v>3</v>
      </c>
      <c r="G11" s="19">
        <v>100</v>
      </c>
      <c r="H11" s="20">
        <v>99.36</v>
      </c>
      <c r="I11" s="4">
        <f>HLOOKUP($C11,'Параметры ПФ'!$F$8:$K$13,6,FALSE)</f>
        <v>105.97</v>
      </c>
      <c r="J11" s="4">
        <f t="shared" si="1"/>
        <v>4769.28</v>
      </c>
      <c r="K11" s="5">
        <f>IF(J11&lt;'Параметры ПФ'!K$3+0.01,'Стандартные программы'!J11,ROUNDDOWN('Параметры ПФ'!K$3/IF(H11=0,I11,IF(I11&gt;H11,H11,I11)),0)*IF(H11=0,I11,IF(I11&gt;H11,H11,I11)))</f>
        <v>4769.28</v>
      </c>
      <c r="L11" s="4">
        <f t="shared" si="0"/>
        <v>476928</v>
      </c>
      <c r="M11" s="30">
        <f>IF(J11&lt;'Параметры ПФ'!K$3+0.01,E11*F11*G11,ROUNDDOWN('Параметры ПФ'!K$3/IF(H11=0,I11,IF(I11&gt;H11,H11,I11)),0)*G11)</f>
        <v>4800</v>
      </c>
      <c r="N11" s="25">
        <f t="shared" si="2"/>
        <v>0</v>
      </c>
      <c r="P11" s="23">
        <f>IF(N11=0,0,IF(N11&gt;'[1]Расчет нормативных затрат'!J$2/2,0,IF(N11&lt;'[1]Расчет нормативных затрат'!J$2/3,2,1)))</f>
        <v>0</v>
      </c>
    </row>
    <row r="12" spans="1:18" x14ac:dyDescent="0.25">
      <c r="A12" s="3" t="s">
        <v>94</v>
      </c>
      <c r="B12" s="3" t="s">
        <v>92</v>
      </c>
      <c r="C12" s="3" t="s">
        <v>5</v>
      </c>
      <c r="D12" s="18">
        <v>36</v>
      </c>
      <c r="E12" s="18">
        <v>16</v>
      </c>
      <c r="F12" s="19">
        <v>3</v>
      </c>
      <c r="G12" s="19">
        <v>80</v>
      </c>
      <c r="H12" s="20">
        <v>99.36</v>
      </c>
      <c r="I12" s="4">
        <f>HLOOKUP($C12,'Параметры ПФ'!$F$8:$K$13,6,FALSE)</f>
        <v>105.97</v>
      </c>
      <c r="J12" s="4">
        <f t="shared" ref="J12:J22" si="3">IF(H12=0,I12*F12*E12,IF(I12&gt;H12,H12*F12*E12,I12*F12*E12))</f>
        <v>4769.28</v>
      </c>
      <c r="K12" s="5">
        <f>IF(J12&lt;'Параметры ПФ'!K$3+0.01,'Стандартные программы'!J12,ROUNDDOWN('Параметры ПФ'!K$3/IF(H12=0,I12,IF(I12&gt;H12,H12,I12)),0)*IF(H12=0,I12,IF(I12&gt;H12,H12,I12)))</f>
        <v>4769.28</v>
      </c>
      <c r="L12" s="4">
        <f t="shared" ref="L12:L22" si="4">K12*G12</f>
        <v>381542.40000000002</v>
      </c>
      <c r="M12" s="30">
        <f>IF(J12&lt;'Параметры ПФ'!K$3+0.01,E12*F12*G12,ROUNDDOWN('Параметры ПФ'!K$3/IF(H12=0,I12,IF(I12&gt;H12,H12,I12)),0)*G12)</f>
        <v>3840</v>
      </c>
      <c r="N12" s="25">
        <f t="shared" ref="N12:N22" si="5">IF(H12=0,I12*F12*E12,IF(I12&gt;H12,H12*F12*E12,I12*F12*E12))-K12</f>
        <v>0</v>
      </c>
      <c r="P12" s="23">
        <f>IF(N12=0,0,IF(N12&gt;'[1]Расчет нормативных затрат'!J$2/2,0,IF(N12&lt;'[1]Расчет нормативных затрат'!J$2/3,2,1)))</f>
        <v>0</v>
      </c>
    </row>
    <row r="13" spans="1:18" x14ac:dyDescent="0.25">
      <c r="A13" s="3" t="s">
        <v>94</v>
      </c>
      <c r="B13" s="3" t="s">
        <v>95</v>
      </c>
      <c r="C13" s="3" t="s">
        <v>5</v>
      </c>
      <c r="D13" s="18">
        <v>36</v>
      </c>
      <c r="E13" s="18">
        <v>16</v>
      </c>
      <c r="F13" s="19">
        <v>3</v>
      </c>
      <c r="G13" s="19">
        <v>80</v>
      </c>
      <c r="H13" s="20">
        <v>99.36</v>
      </c>
      <c r="I13" s="4">
        <f>HLOOKUP($C13,'Параметры ПФ'!$F$8:$K$13,6,FALSE)</f>
        <v>105.97</v>
      </c>
      <c r="J13" s="4">
        <f t="shared" si="3"/>
        <v>4769.28</v>
      </c>
      <c r="K13" s="5">
        <f>IF(J13&lt;'Параметры ПФ'!K$3+0.01,'Стандартные программы'!J13,ROUNDDOWN('Параметры ПФ'!K$3/IF(H13=0,I13,IF(I13&gt;H13,H13,I13)),0)*IF(H13=0,I13,IF(I13&gt;H13,H13,I13)))</f>
        <v>4769.28</v>
      </c>
      <c r="L13" s="4">
        <f t="shared" si="4"/>
        <v>381542.40000000002</v>
      </c>
      <c r="M13" s="30">
        <f>IF(J13&lt;'Параметры ПФ'!K$3+0.01,E13*F13*G13,ROUNDDOWN('Параметры ПФ'!K$3/IF(H13=0,I13,IF(I13&gt;H13,H13,I13)),0)*G13)</f>
        <v>3840</v>
      </c>
      <c r="N13" s="25">
        <f t="shared" si="5"/>
        <v>0</v>
      </c>
      <c r="P13" s="23">
        <f>IF(N13=0,0,IF(N13&gt;'[1]Расчет нормативных затрат'!J$2/2,0,IF(N13&lt;'[1]Расчет нормативных затрат'!J$2/3,2,1)))</f>
        <v>0</v>
      </c>
    </row>
    <row r="14" spans="1:18" x14ac:dyDescent="0.25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>HLOOKUP($C14,'Параметры ПФ'!$F$8:$K$13,6,FALSE)</f>
        <v>105.97</v>
      </c>
      <c r="J14" s="4">
        <f t="shared" si="3"/>
        <v>0</v>
      </c>
      <c r="K14" s="5">
        <f>IF(J14&lt;'Параметры ПФ'!K$3+0.01,'Стандартные программы'!J14,ROUNDDOWN('Параметры ПФ'!K$3/IF(H14=0,I14,IF(I14&gt;H14,H14,I14)),0)*IF(H14=0,I14,IF(I14&gt;H14,H14,I14)))</f>
        <v>0</v>
      </c>
      <c r="L14" s="4">
        <f t="shared" si="4"/>
        <v>0</v>
      </c>
      <c r="M14" s="30">
        <f>IF(J14&lt;'Параметры ПФ'!K$3+0.01,E14*F14*G14,ROUNDDOWN('Параметры ПФ'!K$3/IF(H14=0,I14,IF(I14&gt;H14,H14,I14)),0)*G14)</f>
        <v>0</v>
      </c>
      <c r="N14" s="25">
        <f t="shared" si="5"/>
        <v>0</v>
      </c>
      <c r="P14" s="23">
        <f>IF(N14=0,0,IF(N14&gt;'[1]Расчет нормативных затрат'!J$2/2,0,IF(N14&lt;'[1]Расчет нормативных затрат'!J$2/3,2,1)))</f>
        <v>0</v>
      </c>
    </row>
    <row r="15" spans="1:18" x14ac:dyDescent="0.25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>HLOOKUP($C15,'Параметры ПФ'!$F$8:$K$13,6,FALSE)</f>
        <v>105.97</v>
      </c>
      <c r="J15" s="4">
        <f t="shared" si="3"/>
        <v>0</v>
      </c>
      <c r="K15" s="5">
        <f>IF(J15&lt;'Параметры ПФ'!K$3+0.01,'Стандартные программы'!J15,ROUNDDOWN('Параметры ПФ'!K$3/IF(H15=0,I15,IF(I15&gt;H15,H15,I15)),0)*IF(H15=0,I15,IF(I15&gt;H15,H15,I15)))</f>
        <v>0</v>
      </c>
      <c r="L15" s="4">
        <f t="shared" si="4"/>
        <v>0</v>
      </c>
      <c r="M15" s="30">
        <f>IF(J15&lt;'Параметры ПФ'!K$3+0.01,E15*F15*G15,ROUNDDOWN('Параметры ПФ'!K$3/IF(H15=0,I15,IF(I15&gt;H15,H15,I15)),0)*G15)</f>
        <v>0</v>
      </c>
      <c r="N15" s="25">
        <f t="shared" si="5"/>
        <v>0</v>
      </c>
      <c r="P15" s="23">
        <f>IF(N15=0,0,IF(N15&gt;'[1]Расчет нормативных затрат'!J$2/2,0,IF(N15&lt;'[1]Расчет нормативных затрат'!J$2/3,2,1)))</f>
        <v>0</v>
      </c>
    </row>
    <row r="16" spans="1:18" x14ac:dyDescent="0.25">
      <c r="A16" s="3" t="s">
        <v>2</v>
      </c>
      <c r="B16" s="3"/>
      <c r="C16" s="3" t="s">
        <v>6</v>
      </c>
      <c r="D16" s="18"/>
      <c r="E16" s="18"/>
      <c r="F16" s="19"/>
      <c r="G16" s="19"/>
      <c r="H16" s="20"/>
      <c r="I16" s="4">
        <f>HLOOKUP($C16,'Параметры ПФ'!$F$8:$K$13,6,FALSE)</f>
        <v>48.69</v>
      </c>
      <c r="J16" s="4">
        <f t="shared" si="3"/>
        <v>0</v>
      </c>
      <c r="K16" s="5">
        <f>IF(J16&lt;'Параметры ПФ'!K$3+0.01,'Стандартные программы'!J16,ROUNDDOWN('Параметры ПФ'!K$3/IF(H16=0,I16,IF(I16&gt;H16,H16,I16)),0)*IF(H16=0,I16,IF(I16&gt;H16,H16,I16)))</f>
        <v>0</v>
      </c>
      <c r="L16" s="4">
        <f t="shared" si="4"/>
        <v>0</v>
      </c>
      <c r="M16" s="30">
        <f>IF(J16&lt;'Параметры ПФ'!K$3+0.01,E16*F16*G16,ROUNDDOWN('Параметры ПФ'!K$3/IF(H16=0,I16,IF(I16&gt;H16,H16,I16)),0)*G16)</f>
        <v>0</v>
      </c>
      <c r="N16" s="25">
        <f t="shared" si="5"/>
        <v>0</v>
      </c>
      <c r="P16" s="23">
        <f>IF(N16=0,0,IF(N16&gt;'[1]Расчет нормативных затрат'!J$2/2,0,IF(N16&lt;'[1]Расчет нормативных затрат'!J$2/3,2,1)))</f>
        <v>0</v>
      </c>
    </row>
    <row r="17" spans="1:16" x14ac:dyDescent="0.25">
      <c r="A17" s="3" t="s">
        <v>2</v>
      </c>
      <c r="B17" s="3"/>
      <c r="C17" s="3" t="s">
        <v>6</v>
      </c>
      <c r="D17" s="18"/>
      <c r="E17" s="18"/>
      <c r="F17" s="19"/>
      <c r="G17" s="19"/>
      <c r="H17" s="20"/>
      <c r="I17" s="4">
        <f>HLOOKUP($C17,'Параметры ПФ'!$F$8:$K$13,6,FALSE)</f>
        <v>48.69</v>
      </c>
      <c r="J17" s="4">
        <f t="shared" si="3"/>
        <v>0</v>
      </c>
      <c r="K17" s="5">
        <f>IF(J17&lt;'Параметры ПФ'!K$3+0.01,'Стандартные программы'!J17,ROUNDDOWN('Параметры ПФ'!K$3/IF(H17=0,I17,IF(I17&gt;H17,H17,I17)),0)*IF(H17=0,I17,IF(I17&gt;H17,H17,I17)))</f>
        <v>0</v>
      </c>
      <c r="L17" s="4">
        <f t="shared" si="4"/>
        <v>0</v>
      </c>
      <c r="M17" s="30">
        <f>IF(J17&lt;'Параметры ПФ'!K$3+0.01,E17*F17*G17,ROUNDDOWN('Параметры ПФ'!K$3/IF(H17=0,I17,IF(I17&gt;H17,H17,I17)),0)*G17)</f>
        <v>0</v>
      </c>
      <c r="N17" s="25">
        <f t="shared" si="5"/>
        <v>0</v>
      </c>
      <c r="P17" s="23">
        <f>IF(N17=0,0,IF(N17&gt;'[1]Расчет нормативных затрат'!J$2/2,0,IF(N17&lt;'[1]Расчет нормативных затрат'!J$2/3,2,1)))</f>
        <v>0</v>
      </c>
    </row>
    <row r="18" spans="1:16" x14ac:dyDescent="0.25">
      <c r="A18" s="3" t="s">
        <v>2</v>
      </c>
      <c r="B18" s="3"/>
      <c r="C18" s="3" t="s">
        <v>6</v>
      </c>
      <c r="D18" s="18"/>
      <c r="E18" s="18"/>
      <c r="F18" s="19"/>
      <c r="G18" s="19"/>
      <c r="H18" s="20"/>
      <c r="I18" s="4">
        <f>HLOOKUP($C18,'Параметры ПФ'!$F$8:$K$13,6,FALSE)</f>
        <v>48.69</v>
      </c>
      <c r="J18" s="4">
        <f t="shared" si="3"/>
        <v>0</v>
      </c>
      <c r="K18" s="5">
        <f>IF(J18&lt;'Параметры ПФ'!K$3+0.01,'Стандартные программы'!J18,ROUNDDOWN('Параметры ПФ'!K$3/IF(H18=0,I18,IF(I18&gt;H18,H18,I18)),0)*IF(H18=0,I18,IF(I18&gt;H18,H18,I18)))</f>
        <v>0</v>
      </c>
      <c r="L18" s="4">
        <f t="shared" si="4"/>
        <v>0</v>
      </c>
      <c r="M18" s="30">
        <f>IF(J18&lt;'Параметры ПФ'!K$3+0.01,E18*F18*G18,ROUNDDOWN('Параметры ПФ'!K$3/IF(H18=0,I18,IF(I18&gt;H18,H18,I18)),0)*G18)</f>
        <v>0</v>
      </c>
      <c r="N18" s="25">
        <f t="shared" si="5"/>
        <v>0</v>
      </c>
      <c r="P18" s="23">
        <f>IF(N18=0,0,IF(N18&gt;'[1]Расчет нормативных затрат'!J$2/2,0,IF(N18&lt;'[1]Расчет нормативных затрат'!J$2/3,2,1)))</f>
        <v>0</v>
      </c>
    </row>
    <row r="19" spans="1:16" x14ac:dyDescent="0.25">
      <c r="A19" s="3" t="s">
        <v>2</v>
      </c>
      <c r="B19" s="3"/>
      <c r="C19" s="3" t="s">
        <v>6</v>
      </c>
      <c r="D19" s="18"/>
      <c r="E19" s="18"/>
      <c r="F19" s="19"/>
      <c r="G19" s="19"/>
      <c r="H19" s="20"/>
      <c r="I19" s="4">
        <f>HLOOKUP($C19,'Параметры ПФ'!$F$8:$K$13,6,FALSE)</f>
        <v>48.69</v>
      </c>
      <c r="J19" s="4">
        <f t="shared" si="3"/>
        <v>0</v>
      </c>
      <c r="K19" s="5">
        <f>IF(J19&lt;'Параметры ПФ'!K$3+0.01,'Стандартные программы'!J19,ROUNDDOWN('Параметры ПФ'!K$3/IF(H19=0,I19,IF(I19&gt;H19,H19,I19)),0)*IF(H19=0,I19,IF(I19&gt;H19,H19,I19)))</f>
        <v>0</v>
      </c>
      <c r="L19" s="4">
        <f t="shared" si="4"/>
        <v>0</v>
      </c>
      <c r="M19" s="30">
        <f>IF(J19&lt;'Параметры ПФ'!K$3+0.01,E19*F19*G19,ROUNDDOWN('Параметры ПФ'!K$3/IF(H19=0,I19,IF(I19&gt;H19,H19,I19)),0)*G19)</f>
        <v>0</v>
      </c>
      <c r="N19" s="25">
        <f t="shared" si="5"/>
        <v>0</v>
      </c>
      <c r="P19" s="23">
        <f>IF(N19=0,0,IF(N19&gt;'[1]Расчет нормативных затрат'!J$2/2,0,IF(N19&lt;'[1]Расчет нормативных затрат'!J$2/3,2,1)))</f>
        <v>0</v>
      </c>
    </row>
    <row r="20" spans="1:16" x14ac:dyDescent="0.25">
      <c r="A20" s="3" t="s">
        <v>2</v>
      </c>
      <c r="B20" s="3"/>
      <c r="C20" s="3" t="s">
        <v>6</v>
      </c>
      <c r="D20" s="18"/>
      <c r="E20" s="18"/>
      <c r="F20" s="19"/>
      <c r="G20" s="19"/>
      <c r="H20" s="20"/>
      <c r="I20" s="4">
        <f>HLOOKUP($C20,'Параметры ПФ'!$F$8:$K$13,6,FALSE)</f>
        <v>48.69</v>
      </c>
      <c r="J20" s="4">
        <f t="shared" si="3"/>
        <v>0</v>
      </c>
      <c r="K20" s="5">
        <f>IF(J20&lt;'Параметры ПФ'!K$3+0.01,'Стандартные программы'!J20,ROUNDDOWN('Параметры ПФ'!K$3/IF(H20=0,I20,IF(I20&gt;H20,H20,I20)),0)*IF(H20=0,I20,IF(I20&gt;H20,H20,I20)))</f>
        <v>0</v>
      </c>
      <c r="L20" s="4">
        <f t="shared" si="4"/>
        <v>0</v>
      </c>
      <c r="M20" s="30">
        <f>IF(J20&lt;'Параметры ПФ'!K$3+0.01,E20*F20*G20,ROUNDDOWN('Параметры ПФ'!K$3/IF(H20=0,I20,IF(I20&gt;H20,H20,I20)),0)*G20)</f>
        <v>0</v>
      </c>
      <c r="N20" s="25">
        <f t="shared" si="5"/>
        <v>0</v>
      </c>
      <c r="P20" s="23">
        <f>IF(N20=0,0,IF(N20&gt;'[1]Расчет нормативных затрат'!J$2/2,0,IF(N20&lt;'[1]Расчет нормативных затрат'!J$2/3,2,1)))</f>
        <v>0</v>
      </c>
    </row>
    <row r="21" spans="1:16" x14ac:dyDescent="0.25">
      <c r="A21" s="3" t="s">
        <v>2</v>
      </c>
      <c r="B21" s="3"/>
      <c r="C21" s="3" t="s">
        <v>6</v>
      </c>
      <c r="D21" s="18"/>
      <c r="E21" s="18"/>
      <c r="F21" s="19"/>
      <c r="G21" s="19"/>
      <c r="H21" s="20"/>
      <c r="I21" s="4">
        <f>HLOOKUP($C21,'Параметры ПФ'!$F$8:$K$13,6,FALSE)</f>
        <v>48.69</v>
      </c>
      <c r="J21" s="4">
        <f t="shared" si="3"/>
        <v>0</v>
      </c>
      <c r="K21" s="5">
        <f>IF(J21&lt;'Параметры ПФ'!K$3+0.01,'Стандартные программы'!J21,ROUNDDOWN('Параметры ПФ'!K$3/IF(H21=0,I21,IF(I21&gt;H21,H21,I21)),0)*IF(H21=0,I21,IF(I21&gt;H21,H21,I21)))</f>
        <v>0</v>
      </c>
      <c r="L21" s="4">
        <f t="shared" si="4"/>
        <v>0</v>
      </c>
      <c r="M21" s="30">
        <f>IF(J21&lt;'Параметры ПФ'!K$3+0.01,E21*F21*G21,ROUNDDOWN('Параметры ПФ'!K$3/IF(H21=0,I21,IF(I21&gt;H21,H21,I21)),0)*G21)</f>
        <v>0</v>
      </c>
      <c r="N21" s="25">
        <f t="shared" si="5"/>
        <v>0</v>
      </c>
      <c r="P21" s="23">
        <f>IF(N21=0,0,IF(N21&gt;'[1]Расчет нормативных затрат'!J$2/2,0,IF(N21&lt;'[1]Расчет нормативных затрат'!J$2/3,2,1)))</f>
        <v>0</v>
      </c>
    </row>
    <row r="22" spans="1:16" x14ac:dyDescent="0.25">
      <c r="A22" s="3" t="s">
        <v>2</v>
      </c>
      <c r="B22" s="3"/>
      <c r="C22" s="3" t="s">
        <v>6</v>
      </c>
      <c r="D22" s="18"/>
      <c r="E22" s="18"/>
      <c r="F22" s="19"/>
      <c r="G22" s="19"/>
      <c r="H22" s="20"/>
      <c r="I22" s="4">
        <f>HLOOKUP($C22,'Параметры ПФ'!$F$8:$K$13,6,FALSE)</f>
        <v>48.69</v>
      </c>
      <c r="J22" s="4">
        <f t="shared" si="3"/>
        <v>0</v>
      </c>
      <c r="K22" s="5">
        <f>IF(J22&lt;'Параметры ПФ'!K$3+0.01,'Стандартные программы'!J22,ROUNDDOWN('Параметры ПФ'!K$3/IF(H22=0,I22,IF(I22&gt;H22,H22,I22)),0)*IF(H22=0,I22,IF(I22&gt;H22,H22,I22)))</f>
        <v>0</v>
      </c>
      <c r="L22" s="4">
        <f t="shared" si="4"/>
        <v>0</v>
      </c>
      <c r="M22" s="30">
        <f>IF(J22&lt;'Параметры ПФ'!K$3+0.01,E22*F22*G22,ROUNDDOWN('Параметры ПФ'!K$3/IF(H22=0,I22,IF(I22&gt;H22,H22,I22)),0)*G22)</f>
        <v>0</v>
      </c>
      <c r="N22" s="25">
        <f t="shared" si="5"/>
        <v>0</v>
      </c>
      <c r="P22" s="23">
        <f>IF(N22=0,0,IF(N22&gt;'[1]Расчет нормативных затрат'!J$2/2,0,IF(N22&lt;'[1]Расчет нормативных затрат'!J$2/3,2,1)))</f>
        <v>0</v>
      </c>
    </row>
    <row r="23" spans="1:16" x14ac:dyDescent="0.25">
      <c r="A23" s="147"/>
      <c r="B23" s="147"/>
      <c r="C23" s="147"/>
      <c r="D23" s="147"/>
      <c r="E23" s="147"/>
      <c r="F23" s="147"/>
      <c r="G23" s="6">
        <f>SUM(G2:G22)</f>
        <v>1608</v>
      </c>
      <c r="H23" s="7" t="s">
        <v>30</v>
      </c>
      <c r="I23" s="8" t="s">
        <v>30</v>
      </c>
      <c r="J23" s="7" t="s">
        <v>30</v>
      </c>
      <c r="K23" s="8" t="s">
        <v>30</v>
      </c>
      <c r="L23" s="31">
        <f>SUM(L2:L22)</f>
        <v>5471307.8399999999</v>
      </c>
      <c r="M23" s="32">
        <f>SUM(M2:M22)</f>
        <v>75764</v>
      </c>
      <c r="N23" s="26" t="s">
        <v>30</v>
      </c>
    </row>
    <row r="24" spans="1:16" x14ac:dyDescent="0.25">
      <c r="G24" s="17"/>
      <c r="I24" s="148"/>
      <c r="J24" s="148"/>
      <c r="K24" s="148"/>
    </row>
    <row r="25" spans="1:16" x14ac:dyDescent="0.25">
      <c r="J25" s="149"/>
      <c r="K25" s="149"/>
      <c r="L25" s="21"/>
      <c r="M25" s="21"/>
    </row>
  </sheetData>
  <mergeCells count="3">
    <mergeCell ref="A23:F23"/>
    <mergeCell ref="I24:K24"/>
    <mergeCell ref="J25:K2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greaterThan" id="{7F9B028B-6BC4-484A-915D-E8B2B5908506}">
            <xm:f>'Параметры ПФ'!$M$3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N2:N22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0B34F8-476C-4A17-BC9C-D37D419A1B28}">
          <x14:formula1>
            <xm:f>'Параметры ПФ'!$F$8:$K$8</xm:f>
          </x14:formula1>
          <xm:sqref>C2:C22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opLeftCell="A7" zoomScale="80" zoomScaleNormal="80" workbookViewId="0">
      <selection activeCell="C2" sqref="C2"/>
    </sheetView>
  </sheetViews>
  <sheetFormatPr defaultRowHeight="15.75" x14ac:dyDescent="0.25"/>
  <cols>
    <col min="1" max="1" width="18.875" customWidth="1"/>
    <col min="2" max="2" width="36" customWidth="1"/>
    <col min="3" max="3" width="26.625" customWidth="1"/>
    <col min="4" max="5" width="11.25" customWidth="1"/>
    <col min="6" max="6" width="10.625" customWidth="1"/>
    <col min="8" max="9" width="10.125" customWidth="1"/>
    <col min="10" max="11" width="14.25" customWidth="1"/>
    <col min="12" max="12" width="14.625" customWidth="1"/>
    <col min="13" max="13" width="16.25" customWidth="1"/>
    <col min="14" max="14" width="15.625" customWidth="1"/>
  </cols>
  <sheetData>
    <row r="1" spans="1:14" ht="96" customHeight="1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43</v>
      </c>
      <c r="F1" s="14" t="s">
        <v>31</v>
      </c>
      <c r="G1" s="14" t="s">
        <v>28</v>
      </c>
      <c r="H1" s="15" t="s">
        <v>79</v>
      </c>
      <c r="I1" s="16" t="s">
        <v>29</v>
      </c>
      <c r="J1" s="16" t="s">
        <v>44</v>
      </c>
      <c r="K1" s="28" t="s">
        <v>45</v>
      </c>
      <c r="L1" s="16" t="s">
        <v>34</v>
      </c>
      <c r="M1" s="16" t="s">
        <v>51</v>
      </c>
      <c r="N1" s="24" t="s">
        <v>46</v>
      </c>
    </row>
    <row r="2" spans="1:14" x14ac:dyDescent="0.25">
      <c r="A2" s="3" t="s">
        <v>1</v>
      </c>
      <c r="B2" s="3"/>
      <c r="C2" s="3" t="s">
        <v>5</v>
      </c>
      <c r="D2" s="18"/>
      <c r="E2" s="18"/>
      <c r="F2" s="19"/>
      <c r="G2" s="19"/>
      <c r="H2" s="20"/>
      <c r="I2" s="4">
        <f>HLOOKUP($C2,'Параметры ПФ'!$F$8:$K$13,6,FALSE)*'Параметры ПФ'!$G$24</f>
        <v>105.97</v>
      </c>
      <c r="J2" s="4">
        <f>IF(H2=0,I2*F2*E2,IF(I2&gt;H2,H2*F2*E2,I2*F2*E2))</f>
        <v>0</v>
      </c>
      <c r="K2" s="5">
        <f>IF(J2&lt;'Параметры ПФ'!$K$3+0.01,'Дистанционные программы'!J2,ROUNDDOWN('Параметры ПФ'!$K$3/IF(H2=0,I2,IF(I2&gt;H2,H2,I2)),0)*IF(H2=0,I2,IF(I2&gt;H2,H2,I2)))</f>
        <v>0</v>
      </c>
      <c r="L2" s="4">
        <f>K2*G2</f>
        <v>0</v>
      </c>
      <c r="M2" s="33">
        <f>IF(J2&lt;'Параметры ПФ'!$K$3+0.01,E2*F2*G2,ROUNDDOWN('Параметры ПФ'!$K$3/IF(H2=0,I2,IF(I2&gt;H2,H2,I2)),0)*G2)</f>
        <v>0</v>
      </c>
      <c r="N2" s="25">
        <f>IF(H2=0,I2*F2*E2,IF(I2&gt;H2,H2*F2*E2,I2*F2*E2))-K2</f>
        <v>0</v>
      </c>
    </row>
    <row r="3" spans="1:14" x14ac:dyDescent="0.25">
      <c r="A3" s="3" t="s">
        <v>1</v>
      </c>
      <c r="B3" s="3"/>
      <c r="C3" s="3" t="s">
        <v>5</v>
      </c>
      <c r="D3" s="18"/>
      <c r="E3" s="18"/>
      <c r="F3" s="19"/>
      <c r="G3" s="19"/>
      <c r="H3" s="20"/>
      <c r="I3" s="4">
        <f>HLOOKUP($C3,'Параметры ПФ'!$F$8:$K$13,6,FALSE)*'Параметры ПФ'!$G$24</f>
        <v>105.97</v>
      </c>
      <c r="J3" s="4">
        <f>IF(H3=0,I3*F3*E3,IF(I3&gt;H3,H3*F3*E3,I3*F3*E3))</f>
        <v>0</v>
      </c>
      <c r="K3" s="5">
        <f>IF(J3&lt;'Параметры ПФ'!$K$3+0.01,'Дистанционные программы'!J3,ROUNDDOWN('Параметры ПФ'!$K$3/IF(H3=0,I3,IF(I3&gt;H3,H3,I3)),0)*IF(H3=0,I3,IF(I3&gt;H3,H3,I3)))</f>
        <v>0</v>
      </c>
      <c r="L3" s="4">
        <f t="shared" ref="L3:L8" si="0">K3*G3</f>
        <v>0</v>
      </c>
      <c r="M3" s="33">
        <f>IF(J3&lt;'Параметры ПФ'!$K$3+0.01,E3*F3*G3,ROUNDDOWN('Параметры ПФ'!$K$3/IF(H3=0,I3,IF(I3&gt;H3,H3,I3)),0)*G3)</f>
        <v>0</v>
      </c>
      <c r="N3" s="25">
        <f>IF(H3=0,I3*F3*E3,IF(I3&gt;H3,H3*F3*E3,I3*F3*E3))-K3</f>
        <v>0</v>
      </c>
    </row>
    <row r="4" spans="1:14" x14ac:dyDescent="0.25">
      <c r="A4" s="3" t="s">
        <v>2</v>
      </c>
      <c r="B4" s="3"/>
      <c r="C4" s="3" t="s">
        <v>5</v>
      </c>
      <c r="D4" s="18"/>
      <c r="E4" s="18"/>
      <c r="F4" s="19"/>
      <c r="G4" s="19"/>
      <c r="H4" s="20"/>
      <c r="I4" s="4">
        <f>HLOOKUP($C4,'Параметры ПФ'!$F$8:$K$13,6,FALSE)*'Параметры ПФ'!$G$24</f>
        <v>105.97</v>
      </c>
      <c r="J4" s="4">
        <f>IF(H4=0,I4*F4*E4,IF(I4&gt;H4,H4*F4*E4,I4*F4*E4))</f>
        <v>0</v>
      </c>
      <c r="K4" s="5">
        <f>IF(J4&lt;'Параметры ПФ'!$K$3+0.01,'Дистанционные программы'!J4,ROUNDDOWN('Параметры ПФ'!$K$3/IF(H4=0,I4,IF(I4&gt;H4,H4,I4)),0)*IF(H4=0,I4,IF(I4&gt;H4,H4,I4)))</f>
        <v>0</v>
      </c>
      <c r="L4" s="4">
        <f t="shared" si="0"/>
        <v>0</v>
      </c>
      <c r="M4" s="33">
        <f>IF(J4&lt;'Параметры ПФ'!$K$3+0.01,E4*F4*G4,ROUNDDOWN('Параметры ПФ'!$K$3/IF(H4=0,I4,IF(I4&gt;H4,H4,I4)),0)*G4)</f>
        <v>0</v>
      </c>
      <c r="N4" s="25">
        <f>IF(H4=0,I4*F4*E4,IF(I4&gt;H4,H4*F4*E4,I4*F4*E4))-K4</f>
        <v>0</v>
      </c>
    </row>
    <row r="5" spans="1:14" x14ac:dyDescent="0.25">
      <c r="A5" s="3" t="s">
        <v>1</v>
      </c>
      <c r="B5" s="3"/>
      <c r="C5" s="3" t="s">
        <v>4</v>
      </c>
      <c r="D5" s="18"/>
      <c r="E5" s="18"/>
      <c r="F5" s="19"/>
      <c r="G5" s="19"/>
      <c r="H5" s="20"/>
      <c r="I5" s="4">
        <f>HLOOKUP($C5,'Параметры ПФ'!$F$8:$K$13,6,FALSE)*'Параметры ПФ'!$G$24</f>
        <v>88.9</v>
      </c>
      <c r="J5" s="4">
        <f t="shared" ref="J5:J8" si="1">IF(H5=0,I5*F5*E5,IF(I5&gt;H5,H5*F5*E5,I5*F5*E5))</f>
        <v>0</v>
      </c>
      <c r="K5" s="5">
        <f>IF(J5&lt;'Параметры ПФ'!$K$3+0.01,'Дистанционные программы'!J5,ROUNDDOWN('Параметры ПФ'!$K$3/IF(H5=0,I5,IF(I5&gt;H5,H5,I5)),0)*IF(H5=0,I5,IF(I5&gt;H5,H5,I5)))</f>
        <v>0</v>
      </c>
      <c r="L5" s="4">
        <f t="shared" si="0"/>
        <v>0</v>
      </c>
      <c r="M5" s="33">
        <f>IF(J5&lt;'Параметры ПФ'!$K$3+0.01,E5*F5*G5,ROUNDDOWN('Параметры ПФ'!$K$3/IF(H5=0,I5,IF(I5&gt;H5,H5,I5)),0)*G5)</f>
        <v>0</v>
      </c>
      <c r="N5" s="25">
        <f t="shared" ref="N5:N8" si="2">IF(H5=0,I5*F5*E5,IF(I5&gt;H5,H5*F5*E5,I5*F5*E5))-K5</f>
        <v>0</v>
      </c>
    </row>
    <row r="6" spans="1:14" x14ac:dyDescent="0.25">
      <c r="A6" s="3" t="s">
        <v>2</v>
      </c>
      <c r="B6" s="3"/>
      <c r="C6" s="3" t="s">
        <v>4</v>
      </c>
      <c r="D6" s="18"/>
      <c r="E6" s="18"/>
      <c r="F6" s="19"/>
      <c r="G6" s="19"/>
      <c r="H6" s="20"/>
      <c r="I6" s="4">
        <f>HLOOKUP($C6,'Параметры ПФ'!$F$8:$K$13,6,FALSE)*'Параметры ПФ'!$G$24</f>
        <v>88.9</v>
      </c>
      <c r="J6" s="4">
        <f t="shared" si="1"/>
        <v>0</v>
      </c>
      <c r="K6" s="5">
        <f>IF(J6&lt;'Параметры ПФ'!$K$3+0.01,'Дистанционные программы'!J6,ROUNDDOWN('Параметры ПФ'!$K$3/IF(H6=0,I6,IF(I6&gt;H6,H6,I6)),0)*IF(H6=0,I6,IF(I6&gt;H6,H6,I6)))</f>
        <v>0</v>
      </c>
      <c r="L6" s="4">
        <f t="shared" si="0"/>
        <v>0</v>
      </c>
      <c r="M6" s="33">
        <f>IF(J6&lt;'Параметры ПФ'!$K$3+0.01,E6*F6*G6,ROUNDDOWN('Параметры ПФ'!$K$3/IF(H6=0,I6,IF(I6&gt;H6,H6,I6)),0)*G6)</f>
        <v>0</v>
      </c>
      <c r="N6" s="25">
        <f t="shared" si="2"/>
        <v>0</v>
      </c>
    </row>
    <row r="7" spans="1:14" x14ac:dyDescent="0.25">
      <c r="A7" s="3" t="s">
        <v>2</v>
      </c>
      <c r="B7" s="3"/>
      <c r="C7" s="3" t="s">
        <v>4</v>
      </c>
      <c r="D7" s="18"/>
      <c r="E7" s="18"/>
      <c r="F7" s="19"/>
      <c r="G7" s="19"/>
      <c r="H7" s="20"/>
      <c r="I7" s="4">
        <f>HLOOKUP($C7,'Параметры ПФ'!$F$8:$K$13,6,FALSE)*'Параметры ПФ'!$G$24</f>
        <v>88.9</v>
      </c>
      <c r="J7" s="4">
        <f t="shared" si="1"/>
        <v>0</v>
      </c>
      <c r="K7" s="5">
        <f>IF(J7&lt;'Параметры ПФ'!$K$3+0.01,'Дистанционные программы'!J7,ROUNDDOWN('Параметры ПФ'!$K$3/IF(H7=0,I7,IF(I7&gt;H7,H7,I7)),0)*IF(H7=0,I7,IF(I7&gt;H7,H7,I7)))</f>
        <v>0</v>
      </c>
      <c r="L7" s="4">
        <f t="shared" si="0"/>
        <v>0</v>
      </c>
      <c r="M7" s="33">
        <f>IF(J7&lt;'Параметры ПФ'!$K$3+0.01,E7*F7*G7,ROUNDDOWN('Параметры ПФ'!$K$3/IF(H7=0,I7,IF(I7&gt;H7,H7,I7)),0)*G7)</f>
        <v>0</v>
      </c>
      <c r="N7" s="25">
        <f t="shared" si="2"/>
        <v>0</v>
      </c>
    </row>
    <row r="8" spans="1:14" x14ac:dyDescent="0.25">
      <c r="A8" s="3" t="s">
        <v>36</v>
      </c>
      <c r="B8" s="3"/>
      <c r="C8" s="3" t="s">
        <v>4</v>
      </c>
      <c r="D8" s="18"/>
      <c r="E8" s="18"/>
      <c r="F8" s="19"/>
      <c r="G8" s="19"/>
      <c r="H8" s="20"/>
      <c r="I8" s="4">
        <f>HLOOKUP($C8,'Параметры ПФ'!$F$8:$K$13,6,FALSE)*'Параметры ПФ'!$G$24</f>
        <v>88.9</v>
      </c>
      <c r="J8" s="4">
        <f t="shared" si="1"/>
        <v>0</v>
      </c>
      <c r="K8" s="5">
        <f>IF(J8&lt;'Параметры ПФ'!$K$3+0.01,'Дистанционные программы'!J8,ROUNDDOWN('Параметры ПФ'!$K$3/IF(H8=0,I8,IF(I8&gt;H8,H8,I8)),0)*IF(H8=0,I8,IF(I8&gt;H8,H8,I8)))</f>
        <v>0</v>
      </c>
      <c r="L8" s="4">
        <f t="shared" si="0"/>
        <v>0</v>
      </c>
      <c r="M8" s="33">
        <f>IF(J8&lt;'Параметры ПФ'!$K$3+0.01,E8*F8*G8,ROUNDDOWN('Параметры ПФ'!$K$3/IF(H8=0,I8,IF(I8&gt;H8,H8,I8)),0)*G8)</f>
        <v>0</v>
      </c>
      <c r="N8" s="25">
        <f t="shared" si="2"/>
        <v>0</v>
      </c>
    </row>
    <row r="9" spans="1:14" x14ac:dyDescent="0.25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>HLOOKUP($C9,'Параметры ПФ'!$F$8:$K$13,6,FALSE)*'Параметры ПФ'!$G$24</f>
        <v>105.97</v>
      </c>
      <c r="J9" s="4">
        <f t="shared" ref="J9:J38" si="3">IF(H9=0,I9*F9*E9,IF(I9&gt;H9,H9*F9*E9,I9*F9*E9))</f>
        <v>0</v>
      </c>
      <c r="K9" s="5">
        <f>IF(J9&lt;'Параметры ПФ'!$K$3+0.01,'Дистанционные программы'!J9,ROUNDDOWN('Параметры ПФ'!$K$3/IF(H9=0,I9,IF(I9&gt;H9,H9,I9)),0)*IF(H9=0,I9,IF(I9&gt;H9,H9,I9)))</f>
        <v>0</v>
      </c>
      <c r="L9" s="4">
        <f t="shared" ref="L9:L38" si="4">K9*G9</f>
        <v>0</v>
      </c>
      <c r="M9" s="33">
        <f>IF(J9&lt;'Параметры ПФ'!$K$3+0.01,E9*F9*G9,ROUNDDOWN('Параметры ПФ'!$K$3/IF(H9=0,I9,IF(I9&gt;H9,H9,I9)),0)*G9)</f>
        <v>0</v>
      </c>
      <c r="N9" s="25">
        <f t="shared" ref="N9:N38" si="5">IF(H9=0,I9*F9*E9,IF(I9&gt;H9,H9*F9*E9,I9*F9*E9))-K9</f>
        <v>0</v>
      </c>
    </row>
    <row r="10" spans="1:14" x14ac:dyDescent="0.25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>HLOOKUP($C10,'Параметры ПФ'!$F$8:$K$13,6,FALSE)*'Параметры ПФ'!$G$24</f>
        <v>105.97</v>
      </c>
      <c r="J10" s="4">
        <f t="shared" si="3"/>
        <v>0</v>
      </c>
      <c r="K10" s="5">
        <f>IF(J10&lt;'Параметры ПФ'!$K$3+0.01,'Дистанционные программы'!J10,ROUNDDOWN('Параметры ПФ'!$K$3/IF(H10=0,I10,IF(I10&gt;H10,H10,I10)),0)*IF(H10=0,I10,IF(I10&gt;H10,H10,I10)))</f>
        <v>0</v>
      </c>
      <c r="L10" s="4">
        <f t="shared" si="4"/>
        <v>0</v>
      </c>
      <c r="M10" s="33">
        <f>IF(J10&lt;'Параметры ПФ'!$K$3+0.01,E10*F10*G10,ROUNDDOWN('Параметры ПФ'!$K$3/IF(H10=0,I10,IF(I10&gt;H10,H10,I10)),0)*G10)</f>
        <v>0</v>
      </c>
      <c r="N10" s="25">
        <f t="shared" si="5"/>
        <v>0</v>
      </c>
    </row>
    <row r="11" spans="1:14" x14ac:dyDescent="0.25">
      <c r="A11" s="3" t="s">
        <v>2</v>
      </c>
      <c r="B11" s="3"/>
      <c r="C11" s="3" t="s">
        <v>5</v>
      </c>
      <c r="D11" s="18"/>
      <c r="E11" s="18"/>
      <c r="F11" s="19"/>
      <c r="G11" s="19"/>
      <c r="H11" s="20"/>
      <c r="I11" s="4">
        <f>HLOOKUP($C11,'Параметры ПФ'!$F$8:$K$13,6,FALSE)*'Параметры ПФ'!$G$24</f>
        <v>105.97</v>
      </c>
      <c r="J11" s="4">
        <f t="shared" si="3"/>
        <v>0</v>
      </c>
      <c r="K11" s="5">
        <f>IF(J11&lt;'Параметры ПФ'!$K$3+0.01,'Дистанционные программы'!J11,ROUNDDOWN('Параметры ПФ'!$K$3/IF(H11=0,I11,IF(I11&gt;H11,H11,I11)),0)*IF(H11=0,I11,IF(I11&gt;H11,H11,I11)))</f>
        <v>0</v>
      </c>
      <c r="L11" s="4">
        <f t="shared" si="4"/>
        <v>0</v>
      </c>
      <c r="M11" s="33">
        <f>IF(J11&lt;'Параметры ПФ'!$K$3+0.01,E11*F11*G11,ROUNDDOWN('Параметры ПФ'!$K$3/IF(H11=0,I11,IF(I11&gt;H11,H11,I11)),0)*G11)</f>
        <v>0</v>
      </c>
      <c r="N11" s="25">
        <f t="shared" si="5"/>
        <v>0</v>
      </c>
    </row>
    <row r="12" spans="1:14" x14ac:dyDescent="0.25">
      <c r="A12" s="3" t="s">
        <v>2</v>
      </c>
      <c r="B12" s="3"/>
      <c r="C12" s="3" t="s">
        <v>5</v>
      </c>
      <c r="D12" s="18"/>
      <c r="E12" s="18"/>
      <c r="F12" s="19"/>
      <c r="G12" s="19"/>
      <c r="H12" s="20"/>
      <c r="I12" s="4">
        <f>HLOOKUP($C12,'Параметры ПФ'!$F$8:$K$13,6,FALSE)*'Параметры ПФ'!$G$24</f>
        <v>105.97</v>
      </c>
      <c r="J12" s="4">
        <f t="shared" si="3"/>
        <v>0</v>
      </c>
      <c r="K12" s="5">
        <f>IF(J12&lt;'Параметры ПФ'!$K$3+0.01,'Дистанционные программы'!J12,ROUNDDOWN('Параметры ПФ'!$K$3/IF(H12=0,I12,IF(I12&gt;H12,H12,I12)),0)*IF(H12=0,I12,IF(I12&gt;H12,H12,I12)))</f>
        <v>0</v>
      </c>
      <c r="L12" s="4">
        <f t="shared" si="4"/>
        <v>0</v>
      </c>
      <c r="M12" s="33">
        <f>IF(J12&lt;'Параметры ПФ'!$K$3+0.01,E12*F12*G12,ROUNDDOWN('Параметры ПФ'!$K$3/IF(H12=0,I12,IF(I12&gt;H12,H12,I12)),0)*G12)</f>
        <v>0</v>
      </c>
      <c r="N12" s="25">
        <f t="shared" si="5"/>
        <v>0</v>
      </c>
    </row>
    <row r="13" spans="1:14" x14ac:dyDescent="0.25">
      <c r="A13" s="3" t="s">
        <v>2</v>
      </c>
      <c r="B13" s="3"/>
      <c r="C13" s="3" t="s">
        <v>5</v>
      </c>
      <c r="D13" s="18"/>
      <c r="E13" s="18"/>
      <c r="F13" s="19"/>
      <c r="G13" s="19"/>
      <c r="H13" s="20"/>
      <c r="I13" s="4">
        <f>HLOOKUP($C13,'Параметры ПФ'!$F$8:$K$13,6,FALSE)*'Параметры ПФ'!$G$24</f>
        <v>105.97</v>
      </c>
      <c r="J13" s="4">
        <f t="shared" si="3"/>
        <v>0</v>
      </c>
      <c r="K13" s="5">
        <f>IF(J13&lt;'Параметры ПФ'!$K$3+0.01,'Дистанционные программы'!J13,ROUNDDOWN('Параметры ПФ'!$K$3/IF(H13=0,I13,IF(I13&gt;H13,H13,I13)),0)*IF(H13=0,I13,IF(I13&gt;H13,H13,I13)))</f>
        <v>0</v>
      </c>
      <c r="L13" s="4">
        <f t="shared" si="4"/>
        <v>0</v>
      </c>
      <c r="M13" s="33">
        <f>IF(J13&lt;'Параметры ПФ'!$K$3+0.01,E13*F13*G13,ROUNDDOWN('Параметры ПФ'!$K$3/IF(H13=0,I13,IF(I13&gt;H13,H13,I13)),0)*G13)</f>
        <v>0</v>
      </c>
      <c r="N13" s="25">
        <f t="shared" si="5"/>
        <v>0</v>
      </c>
    </row>
    <row r="14" spans="1:14" x14ac:dyDescent="0.25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>HLOOKUP($C14,'Параметры ПФ'!$F$8:$K$13,6,FALSE)*'Параметры ПФ'!$G$24</f>
        <v>105.97</v>
      </c>
      <c r="J14" s="4">
        <f t="shared" si="3"/>
        <v>0</v>
      </c>
      <c r="K14" s="5">
        <f>IF(J14&lt;'Параметры ПФ'!$K$3+0.01,'Дистанционные программы'!J14,ROUNDDOWN('Параметры ПФ'!$K$3/IF(H14=0,I14,IF(I14&gt;H14,H14,I14)),0)*IF(H14=0,I14,IF(I14&gt;H14,H14,I14)))</f>
        <v>0</v>
      </c>
      <c r="L14" s="4">
        <f t="shared" si="4"/>
        <v>0</v>
      </c>
      <c r="M14" s="33">
        <f>IF(J14&lt;'Параметры ПФ'!$K$3+0.01,E14*F14*G14,ROUNDDOWN('Параметры ПФ'!$K$3/IF(H14=0,I14,IF(I14&gt;H14,H14,I14)),0)*G14)</f>
        <v>0</v>
      </c>
      <c r="N14" s="25">
        <f t="shared" si="5"/>
        <v>0</v>
      </c>
    </row>
    <row r="15" spans="1:14" x14ac:dyDescent="0.25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>HLOOKUP($C15,'Параметры ПФ'!$F$8:$K$13,6,FALSE)*'Параметры ПФ'!$G$24</f>
        <v>105.97</v>
      </c>
      <c r="J15" s="4">
        <f t="shared" si="3"/>
        <v>0</v>
      </c>
      <c r="K15" s="5">
        <f>IF(J15&lt;'Параметры ПФ'!$K$3+0.01,'Дистанционные программы'!J15,ROUNDDOWN('Параметры ПФ'!$K$3/IF(H15=0,I15,IF(I15&gt;H15,H15,I15)),0)*IF(H15=0,I15,IF(I15&gt;H15,H15,I15)))</f>
        <v>0</v>
      </c>
      <c r="L15" s="4">
        <f t="shared" si="4"/>
        <v>0</v>
      </c>
      <c r="M15" s="33">
        <f>IF(J15&lt;'Параметры ПФ'!$K$3+0.01,E15*F15*G15,ROUNDDOWN('Параметры ПФ'!$K$3/IF(H15=0,I15,IF(I15&gt;H15,H15,I15)),0)*G15)</f>
        <v>0</v>
      </c>
      <c r="N15" s="25">
        <f t="shared" si="5"/>
        <v>0</v>
      </c>
    </row>
    <row r="16" spans="1:14" x14ac:dyDescent="0.25">
      <c r="A16" s="3" t="s">
        <v>2</v>
      </c>
      <c r="B16" s="3"/>
      <c r="C16" s="3" t="s">
        <v>5</v>
      </c>
      <c r="D16" s="18"/>
      <c r="E16" s="18"/>
      <c r="F16" s="19"/>
      <c r="G16" s="19"/>
      <c r="H16" s="20"/>
      <c r="I16" s="4">
        <f>HLOOKUP($C16,'Параметры ПФ'!$F$8:$K$13,6,FALSE)*'Параметры ПФ'!$G$24</f>
        <v>105.97</v>
      </c>
      <c r="J16" s="4">
        <f t="shared" si="3"/>
        <v>0</v>
      </c>
      <c r="K16" s="5">
        <f>IF(J16&lt;'Параметры ПФ'!$K$3+0.01,'Дистанционные программы'!J16,ROUNDDOWN('Параметры ПФ'!$K$3/IF(H16=0,I16,IF(I16&gt;H16,H16,I16)),0)*IF(H16=0,I16,IF(I16&gt;H16,H16,I16)))</f>
        <v>0</v>
      </c>
      <c r="L16" s="4">
        <f t="shared" si="4"/>
        <v>0</v>
      </c>
      <c r="M16" s="33">
        <f>IF(J16&lt;'Параметры ПФ'!$K$3+0.01,E16*F16*G16,ROUNDDOWN('Параметры ПФ'!$K$3/IF(H16=0,I16,IF(I16&gt;H16,H16,I16)),0)*G16)</f>
        <v>0</v>
      </c>
      <c r="N16" s="25">
        <f t="shared" si="5"/>
        <v>0</v>
      </c>
    </row>
    <row r="17" spans="1:14" x14ac:dyDescent="0.25">
      <c r="A17" s="3" t="s">
        <v>2</v>
      </c>
      <c r="B17" s="3"/>
      <c r="C17" s="3" t="s">
        <v>5</v>
      </c>
      <c r="D17" s="18"/>
      <c r="E17" s="18"/>
      <c r="F17" s="19"/>
      <c r="G17" s="19"/>
      <c r="H17" s="20"/>
      <c r="I17" s="4">
        <f>HLOOKUP($C17,'Параметры ПФ'!$F$8:$K$13,6,FALSE)*'Параметры ПФ'!$G$24</f>
        <v>105.97</v>
      </c>
      <c r="J17" s="4">
        <f t="shared" si="3"/>
        <v>0</v>
      </c>
      <c r="K17" s="5">
        <f>IF(J17&lt;'Параметры ПФ'!$K$3+0.01,'Дистанционные программы'!J17,ROUNDDOWN('Параметры ПФ'!$K$3/IF(H17=0,I17,IF(I17&gt;H17,H17,I17)),0)*IF(H17=0,I17,IF(I17&gt;H17,H17,I17)))</f>
        <v>0</v>
      </c>
      <c r="L17" s="4">
        <f t="shared" si="4"/>
        <v>0</v>
      </c>
      <c r="M17" s="33">
        <f>IF(J17&lt;'Параметры ПФ'!$K$3+0.01,E17*F17*G17,ROUNDDOWN('Параметры ПФ'!$K$3/IF(H17=0,I17,IF(I17&gt;H17,H17,I17)),0)*G17)</f>
        <v>0</v>
      </c>
      <c r="N17" s="25">
        <f t="shared" si="5"/>
        <v>0</v>
      </c>
    </row>
    <row r="18" spans="1:14" x14ac:dyDescent="0.25">
      <c r="A18" s="3" t="s">
        <v>2</v>
      </c>
      <c r="B18" s="3"/>
      <c r="C18" s="3" t="s">
        <v>5</v>
      </c>
      <c r="D18" s="18"/>
      <c r="E18" s="18"/>
      <c r="F18" s="19"/>
      <c r="G18" s="19"/>
      <c r="H18" s="20"/>
      <c r="I18" s="4">
        <f>HLOOKUP($C18,'Параметры ПФ'!$F$8:$K$13,6,FALSE)*'Параметры ПФ'!$G$24</f>
        <v>105.97</v>
      </c>
      <c r="J18" s="4">
        <f t="shared" si="3"/>
        <v>0</v>
      </c>
      <c r="K18" s="5">
        <f>IF(J18&lt;'Параметры ПФ'!$K$3+0.01,'Дистанционные программы'!J18,ROUNDDOWN('Параметры ПФ'!$K$3/IF(H18=0,I18,IF(I18&gt;H18,H18,I18)),0)*IF(H18=0,I18,IF(I18&gt;H18,H18,I18)))</f>
        <v>0</v>
      </c>
      <c r="L18" s="4">
        <f t="shared" si="4"/>
        <v>0</v>
      </c>
      <c r="M18" s="33">
        <f>IF(J18&lt;'Параметры ПФ'!$K$3+0.01,E18*F18*G18,ROUNDDOWN('Параметры ПФ'!$K$3/IF(H18=0,I18,IF(I18&gt;H18,H18,I18)),0)*G18)</f>
        <v>0</v>
      </c>
      <c r="N18" s="25">
        <f t="shared" si="5"/>
        <v>0</v>
      </c>
    </row>
    <row r="19" spans="1:14" x14ac:dyDescent="0.25">
      <c r="A19" s="3" t="s">
        <v>2</v>
      </c>
      <c r="B19" s="3"/>
      <c r="C19" s="3" t="s">
        <v>5</v>
      </c>
      <c r="D19" s="18"/>
      <c r="E19" s="18"/>
      <c r="F19" s="19"/>
      <c r="G19" s="19"/>
      <c r="H19" s="20"/>
      <c r="I19" s="4">
        <f>HLOOKUP($C19,'Параметры ПФ'!$F$8:$K$13,6,FALSE)*'Параметры ПФ'!$G$24</f>
        <v>105.97</v>
      </c>
      <c r="J19" s="4">
        <f t="shared" si="3"/>
        <v>0</v>
      </c>
      <c r="K19" s="5">
        <f>IF(J19&lt;'Параметры ПФ'!$K$3+0.01,'Дистанционные программы'!J19,ROUNDDOWN('Параметры ПФ'!$K$3/IF(H19=0,I19,IF(I19&gt;H19,H19,I19)),0)*IF(H19=0,I19,IF(I19&gt;H19,H19,I19)))</f>
        <v>0</v>
      </c>
      <c r="L19" s="4">
        <f t="shared" si="4"/>
        <v>0</v>
      </c>
      <c r="M19" s="33">
        <f>IF(J19&lt;'Параметры ПФ'!$K$3+0.01,E19*F19*G19,ROUNDDOWN('Параметры ПФ'!$K$3/IF(H19=0,I19,IF(I19&gt;H19,H19,I19)),0)*G19)</f>
        <v>0</v>
      </c>
      <c r="N19" s="25">
        <f t="shared" si="5"/>
        <v>0</v>
      </c>
    </row>
    <row r="20" spans="1:14" x14ac:dyDescent="0.25">
      <c r="A20" s="3" t="s">
        <v>2</v>
      </c>
      <c r="B20" s="3"/>
      <c r="C20" s="3" t="s">
        <v>5</v>
      </c>
      <c r="D20" s="18"/>
      <c r="E20" s="18"/>
      <c r="F20" s="19"/>
      <c r="G20" s="19"/>
      <c r="H20" s="20"/>
      <c r="I20" s="4">
        <f>HLOOKUP($C20,'Параметры ПФ'!$F$8:$K$13,6,FALSE)*'Параметры ПФ'!$G$24</f>
        <v>105.97</v>
      </c>
      <c r="J20" s="4">
        <f t="shared" si="3"/>
        <v>0</v>
      </c>
      <c r="K20" s="5">
        <f>IF(J20&lt;'Параметры ПФ'!$K$3+0.01,'Дистанционные программы'!J20,ROUNDDOWN('Параметры ПФ'!$K$3/IF(H20=0,I20,IF(I20&gt;H20,H20,I20)),0)*IF(H20=0,I20,IF(I20&gt;H20,H20,I20)))</f>
        <v>0</v>
      </c>
      <c r="L20" s="4">
        <f t="shared" si="4"/>
        <v>0</v>
      </c>
      <c r="M20" s="33">
        <f>IF(J20&lt;'Параметры ПФ'!$K$3+0.01,E20*F20*G20,ROUNDDOWN('Параметры ПФ'!$K$3/IF(H20=0,I20,IF(I20&gt;H20,H20,I20)),0)*G20)</f>
        <v>0</v>
      </c>
      <c r="N20" s="25">
        <f t="shared" si="5"/>
        <v>0</v>
      </c>
    </row>
    <row r="21" spans="1:14" x14ac:dyDescent="0.25">
      <c r="A21" s="3" t="s">
        <v>2</v>
      </c>
      <c r="B21" s="3"/>
      <c r="C21" s="3" t="s">
        <v>5</v>
      </c>
      <c r="D21" s="18"/>
      <c r="E21" s="18"/>
      <c r="F21" s="19"/>
      <c r="G21" s="19"/>
      <c r="H21" s="20"/>
      <c r="I21" s="4">
        <f>HLOOKUP($C21,'Параметры ПФ'!$F$8:$K$13,6,FALSE)*'Параметры ПФ'!$G$24</f>
        <v>105.97</v>
      </c>
      <c r="J21" s="4">
        <f t="shared" si="3"/>
        <v>0</v>
      </c>
      <c r="K21" s="5">
        <f>IF(J21&lt;'Параметры ПФ'!$K$3+0.01,'Дистанционные программы'!J21,ROUNDDOWN('Параметры ПФ'!$K$3/IF(H21=0,I21,IF(I21&gt;H21,H21,I21)),0)*IF(H21=0,I21,IF(I21&gt;H21,H21,I21)))</f>
        <v>0</v>
      </c>
      <c r="L21" s="4">
        <f t="shared" si="4"/>
        <v>0</v>
      </c>
      <c r="M21" s="33">
        <f>IF(J21&lt;'Параметры ПФ'!$K$3+0.01,E21*F21*G21,ROUNDDOWN('Параметры ПФ'!$K$3/IF(H21=0,I21,IF(I21&gt;H21,H21,I21)),0)*G21)</f>
        <v>0</v>
      </c>
      <c r="N21" s="25">
        <f t="shared" si="5"/>
        <v>0</v>
      </c>
    </row>
    <row r="22" spans="1:14" x14ac:dyDescent="0.25">
      <c r="A22" s="3" t="s">
        <v>2</v>
      </c>
      <c r="B22" s="3"/>
      <c r="C22" s="3" t="s">
        <v>5</v>
      </c>
      <c r="D22" s="18"/>
      <c r="E22" s="18"/>
      <c r="F22" s="19"/>
      <c r="G22" s="19"/>
      <c r="H22" s="20"/>
      <c r="I22" s="4">
        <f>HLOOKUP($C22,'Параметры ПФ'!$F$8:$K$13,6,FALSE)*'Параметры ПФ'!$G$24</f>
        <v>105.97</v>
      </c>
      <c r="J22" s="4">
        <f t="shared" si="3"/>
        <v>0</v>
      </c>
      <c r="K22" s="5">
        <f>IF(J22&lt;'Параметры ПФ'!$K$3+0.01,'Дистанционные программы'!J22,ROUNDDOWN('Параметры ПФ'!$K$3/IF(H22=0,I22,IF(I22&gt;H22,H22,I22)),0)*IF(H22=0,I22,IF(I22&gt;H22,H22,I22)))</f>
        <v>0</v>
      </c>
      <c r="L22" s="4">
        <f t="shared" si="4"/>
        <v>0</v>
      </c>
      <c r="M22" s="33">
        <f>IF(J22&lt;'Параметры ПФ'!$K$3+0.01,E22*F22*G22,ROUNDDOWN('Параметры ПФ'!$K$3/IF(H22=0,I22,IF(I22&gt;H22,H22,I22)),0)*G22)</f>
        <v>0</v>
      </c>
      <c r="N22" s="25">
        <f t="shared" si="5"/>
        <v>0</v>
      </c>
    </row>
    <row r="23" spans="1:14" x14ac:dyDescent="0.25">
      <c r="A23" s="3" t="s">
        <v>2</v>
      </c>
      <c r="B23" s="3"/>
      <c r="C23" s="3" t="s">
        <v>5</v>
      </c>
      <c r="D23" s="18"/>
      <c r="E23" s="18"/>
      <c r="F23" s="19"/>
      <c r="G23" s="19"/>
      <c r="H23" s="20"/>
      <c r="I23" s="4">
        <f>HLOOKUP($C23,'Параметры ПФ'!$F$8:$K$13,6,FALSE)*'Параметры ПФ'!$G$24</f>
        <v>105.97</v>
      </c>
      <c r="J23" s="4">
        <f t="shared" si="3"/>
        <v>0</v>
      </c>
      <c r="K23" s="5">
        <f>IF(J23&lt;'Параметры ПФ'!$K$3+0.01,'Дистанционные программы'!J23,ROUNDDOWN('Параметры ПФ'!$K$3/IF(H23=0,I23,IF(I23&gt;H23,H23,I23)),0)*IF(H23=0,I23,IF(I23&gt;H23,H23,I23)))</f>
        <v>0</v>
      </c>
      <c r="L23" s="4">
        <f t="shared" si="4"/>
        <v>0</v>
      </c>
      <c r="M23" s="33">
        <f>IF(J23&lt;'Параметры ПФ'!$K$3+0.01,E23*F23*G23,ROUNDDOWN('Параметры ПФ'!$K$3/IF(H23=0,I23,IF(I23&gt;H23,H23,I23)),0)*G23)</f>
        <v>0</v>
      </c>
      <c r="N23" s="25">
        <f t="shared" si="5"/>
        <v>0</v>
      </c>
    </row>
    <row r="24" spans="1:14" x14ac:dyDescent="0.25">
      <c r="A24" s="3" t="s">
        <v>2</v>
      </c>
      <c r="B24" s="3"/>
      <c r="C24" s="3" t="s">
        <v>5</v>
      </c>
      <c r="D24" s="18"/>
      <c r="E24" s="18"/>
      <c r="F24" s="19"/>
      <c r="G24" s="19"/>
      <c r="H24" s="20"/>
      <c r="I24" s="4">
        <f>HLOOKUP($C24,'Параметры ПФ'!$F$8:$K$13,6,FALSE)*'Параметры ПФ'!$G$24</f>
        <v>105.97</v>
      </c>
      <c r="J24" s="4">
        <f t="shared" si="3"/>
        <v>0</v>
      </c>
      <c r="K24" s="5">
        <f>IF(J24&lt;'Параметры ПФ'!$K$3+0.01,'Дистанционные программы'!J24,ROUNDDOWN('Параметры ПФ'!$K$3/IF(H24=0,I24,IF(I24&gt;H24,H24,I24)),0)*IF(H24=0,I24,IF(I24&gt;H24,H24,I24)))</f>
        <v>0</v>
      </c>
      <c r="L24" s="4">
        <f t="shared" si="4"/>
        <v>0</v>
      </c>
      <c r="M24" s="33">
        <f>IF(J24&lt;'Параметры ПФ'!$K$3+0.01,E24*F24*G24,ROUNDDOWN('Параметры ПФ'!$K$3/IF(H24=0,I24,IF(I24&gt;H24,H24,I24)),0)*G24)</f>
        <v>0</v>
      </c>
      <c r="N24" s="25">
        <f t="shared" si="5"/>
        <v>0</v>
      </c>
    </row>
    <row r="25" spans="1:14" x14ac:dyDescent="0.25">
      <c r="A25" s="3" t="s">
        <v>2</v>
      </c>
      <c r="B25" s="3"/>
      <c r="C25" s="3" t="s">
        <v>5</v>
      </c>
      <c r="D25" s="18"/>
      <c r="E25" s="18"/>
      <c r="F25" s="19"/>
      <c r="G25" s="19"/>
      <c r="H25" s="20"/>
      <c r="I25" s="4">
        <f>HLOOKUP($C25,'Параметры ПФ'!$F$8:$K$13,6,FALSE)*'Параметры ПФ'!$G$24</f>
        <v>105.97</v>
      </c>
      <c r="J25" s="4">
        <f t="shared" si="3"/>
        <v>0</v>
      </c>
      <c r="K25" s="5">
        <f>IF(J25&lt;'Параметры ПФ'!$K$3+0.01,'Дистанционные программы'!J25,ROUNDDOWN('Параметры ПФ'!$K$3/IF(H25=0,I25,IF(I25&gt;H25,H25,I25)),0)*IF(H25=0,I25,IF(I25&gt;H25,H25,I25)))</f>
        <v>0</v>
      </c>
      <c r="L25" s="4">
        <f t="shared" si="4"/>
        <v>0</v>
      </c>
      <c r="M25" s="33">
        <f>IF(J25&lt;'Параметры ПФ'!$K$3+0.01,E25*F25*G25,ROUNDDOWN('Параметры ПФ'!$K$3/IF(H25=0,I25,IF(I25&gt;H25,H25,I25)),0)*G25)</f>
        <v>0</v>
      </c>
      <c r="N25" s="25">
        <f t="shared" si="5"/>
        <v>0</v>
      </c>
    </row>
    <row r="26" spans="1:14" x14ac:dyDescent="0.25">
      <c r="A26" s="3" t="s">
        <v>2</v>
      </c>
      <c r="B26" s="3"/>
      <c r="C26" s="3" t="s">
        <v>5</v>
      </c>
      <c r="D26" s="18"/>
      <c r="E26" s="18"/>
      <c r="F26" s="19"/>
      <c r="G26" s="19"/>
      <c r="H26" s="20"/>
      <c r="I26" s="4">
        <f>HLOOKUP($C26,'Параметры ПФ'!$F$8:$K$13,6,FALSE)*'Параметры ПФ'!$G$24</f>
        <v>105.97</v>
      </c>
      <c r="J26" s="4">
        <f t="shared" si="3"/>
        <v>0</v>
      </c>
      <c r="K26" s="5">
        <f>IF(J26&lt;'Параметры ПФ'!$K$3+0.01,'Дистанционные программы'!J26,ROUNDDOWN('Параметры ПФ'!$K$3/IF(H26=0,I26,IF(I26&gt;H26,H26,I26)),0)*IF(H26=0,I26,IF(I26&gt;H26,H26,I26)))</f>
        <v>0</v>
      </c>
      <c r="L26" s="4">
        <f t="shared" si="4"/>
        <v>0</v>
      </c>
      <c r="M26" s="33">
        <f>IF(J26&lt;'Параметры ПФ'!$K$3+0.01,E26*F26*G26,ROUNDDOWN('Параметры ПФ'!$K$3/IF(H26=0,I26,IF(I26&gt;H26,H26,I26)),0)*G26)</f>
        <v>0</v>
      </c>
      <c r="N26" s="25">
        <f t="shared" si="5"/>
        <v>0</v>
      </c>
    </row>
    <row r="27" spans="1:14" x14ac:dyDescent="0.25">
      <c r="A27" s="3" t="s">
        <v>2</v>
      </c>
      <c r="B27" s="3"/>
      <c r="C27" s="3" t="s">
        <v>5</v>
      </c>
      <c r="D27" s="18"/>
      <c r="E27" s="18"/>
      <c r="F27" s="19"/>
      <c r="G27" s="19"/>
      <c r="H27" s="20"/>
      <c r="I27" s="4">
        <f>HLOOKUP($C27,'Параметры ПФ'!$F$8:$K$13,6,FALSE)*'Параметры ПФ'!$G$24</f>
        <v>105.97</v>
      </c>
      <c r="J27" s="4">
        <f t="shared" si="3"/>
        <v>0</v>
      </c>
      <c r="K27" s="5">
        <f>IF(J27&lt;'Параметры ПФ'!$K$3+0.01,'Дистанционные программы'!J27,ROUNDDOWN('Параметры ПФ'!$K$3/IF(H27=0,I27,IF(I27&gt;H27,H27,I27)),0)*IF(H27=0,I27,IF(I27&gt;H27,H27,I27)))</f>
        <v>0</v>
      </c>
      <c r="L27" s="4">
        <f t="shared" si="4"/>
        <v>0</v>
      </c>
      <c r="M27" s="33">
        <f>IF(J27&lt;'Параметры ПФ'!$K$3+0.01,E27*F27*G27,ROUNDDOWN('Параметры ПФ'!$K$3/IF(H27=0,I27,IF(I27&gt;H27,H27,I27)),0)*G27)</f>
        <v>0</v>
      </c>
      <c r="N27" s="25">
        <f t="shared" si="5"/>
        <v>0</v>
      </c>
    </row>
    <row r="28" spans="1:14" x14ac:dyDescent="0.25">
      <c r="A28" s="3" t="s">
        <v>2</v>
      </c>
      <c r="B28" s="3"/>
      <c r="C28" s="3" t="s">
        <v>5</v>
      </c>
      <c r="D28" s="18"/>
      <c r="E28" s="18"/>
      <c r="F28" s="19"/>
      <c r="G28" s="19"/>
      <c r="H28" s="20"/>
      <c r="I28" s="4">
        <f>HLOOKUP($C28,'Параметры ПФ'!$F$8:$K$13,6,FALSE)*'Параметры ПФ'!$G$24</f>
        <v>105.97</v>
      </c>
      <c r="J28" s="4">
        <f t="shared" si="3"/>
        <v>0</v>
      </c>
      <c r="K28" s="5">
        <f>IF(J28&lt;'Параметры ПФ'!$K$3+0.01,'Дистанционные программы'!J28,ROUNDDOWN('Параметры ПФ'!$K$3/IF(H28=0,I28,IF(I28&gt;H28,H28,I28)),0)*IF(H28=0,I28,IF(I28&gt;H28,H28,I28)))</f>
        <v>0</v>
      </c>
      <c r="L28" s="4">
        <f t="shared" si="4"/>
        <v>0</v>
      </c>
      <c r="M28" s="33">
        <f>IF(J28&lt;'Параметры ПФ'!$K$3+0.01,E28*F28*G28,ROUNDDOWN('Параметры ПФ'!$K$3/IF(H28=0,I28,IF(I28&gt;H28,H28,I28)),0)*G28)</f>
        <v>0</v>
      </c>
      <c r="N28" s="25">
        <f t="shared" si="5"/>
        <v>0</v>
      </c>
    </row>
    <row r="29" spans="1:14" x14ac:dyDescent="0.25">
      <c r="A29" s="3" t="s">
        <v>2</v>
      </c>
      <c r="B29" s="3"/>
      <c r="C29" s="3" t="s">
        <v>7</v>
      </c>
      <c r="D29" s="18"/>
      <c r="E29" s="18"/>
      <c r="F29" s="19"/>
      <c r="G29" s="19"/>
      <c r="H29" s="20"/>
      <c r="I29" s="4">
        <f>HLOOKUP($C29,'Параметры ПФ'!$F$8:$K$13,6,FALSE)*'Параметры ПФ'!$G$24</f>
        <v>104.91</v>
      </c>
      <c r="J29" s="4">
        <f t="shared" si="3"/>
        <v>0</v>
      </c>
      <c r="K29" s="5">
        <f>IF(J29&lt;'Параметры ПФ'!$K$3+0.01,'Дистанционные программы'!J29,ROUNDDOWN('Параметры ПФ'!$K$3/IF(H29=0,I29,IF(I29&gt;H29,H29,I29)),0)*IF(H29=0,I29,IF(I29&gt;H29,H29,I29)))</f>
        <v>0</v>
      </c>
      <c r="L29" s="4">
        <f t="shared" si="4"/>
        <v>0</v>
      </c>
      <c r="M29" s="33">
        <f>IF(J29&lt;'Параметры ПФ'!$K$3+0.01,E29*F29*G29,ROUNDDOWN('Параметры ПФ'!$K$3/IF(H29=0,I29,IF(I29&gt;H29,H29,I29)),0)*G29)</f>
        <v>0</v>
      </c>
      <c r="N29" s="25">
        <f t="shared" si="5"/>
        <v>0</v>
      </c>
    </row>
    <row r="30" spans="1:14" x14ac:dyDescent="0.25">
      <c r="A30" s="3" t="s">
        <v>2</v>
      </c>
      <c r="B30" s="3"/>
      <c r="C30" s="3" t="s">
        <v>7</v>
      </c>
      <c r="D30" s="18"/>
      <c r="E30" s="18"/>
      <c r="F30" s="19"/>
      <c r="G30" s="19"/>
      <c r="H30" s="20"/>
      <c r="I30" s="4">
        <f>HLOOKUP($C30,'Параметры ПФ'!$F$8:$K$13,6,FALSE)*'Параметры ПФ'!$G$24</f>
        <v>104.91</v>
      </c>
      <c r="J30" s="4">
        <f t="shared" si="3"/>
        <v>0</v>
      </c>
      <c r="K30" s="5">
        <f>IF(J30&lt;'Параметры ПФ'!$K$3+0.01,'Дистанционные программы'!J30,ROUNDDOWN('Параметры ПФ'!$K$3/IF(H30=0,I30,IF(I30&gt;H30,H30,I30)),0)*IF(H30=0,I30,IF(I30&gt;H30,H30,I30)))</f>
        <v>0</v>
      </c>
      <c r="L30" s="4">
        <f t="shared" si="4"/>
        <v>0</v>
      </c>
      <c r="M30" s="33">
        <f>IF(J30&lt;'Параметры ПФ'!$K$3+0.01,E30*F30*G30,ROUNDDOWN('Параметры ПФ'!$K$3/IF(H30=0,I30,IF(I30&gt;H30,H30,I30)),0)*G30)</f>
        <v>0</v>
      </c>
      <c r="N30" s="25">
        <f t="shared" si="5"/>
        <v>0</v>
      </c>
    </row>
    <row r="31" spans="1:14" x14ac:dyDescent="0.25">
      <c r="A31" s="3" t="s">
        <v>2</v>
      </c>
      <c r="B31" s="3"/>
      <c r="C31" s="3" t="s">
        <v>7</v>
      </c>
      <c r="D31" s="18"/>
      <c r="E31" s="18"/>
      <c r="F31" s="19"/>
      <c r="G31" s="19"/>
      <c r="H31" s="20"/>
      <c r="I31" s="4">
        <f>HLOOKUP($C31,'Параметры ПФ'!$F$8:$K$13,6,FALSE)*'Параметры ПФ'!$G$24</f>
        <v>104.91</v>
      </c>
      <c r="J31" s="4">
        <f t="shared" si="3"/>
        <v>0</v>
      </c>
      <c r="K31" s="5">
        <f>IF(J31&lt;'Параметры ПФ'!$K$3+0.01,'Дистанционные программы'!J31,ROUNDDOWN('Параметры ПФ'!$K$3/IF(H31=0,I31,IF(I31&gt;H31,H31,I31)),0)*IF(H31=0,I31,IF(I31&gt;H31,H31,I31)))</f>
        <v>0</v>
      </c>
      <c r="L31" s="4">
        <f t="shared" si="4"/>
        <v>0</v>
      </c>
      <c r="M31" s="33">
        <f>IF(J31&lt;'Параметры ПФ'!$K$3+0.01,E31*F31*G31,ROUNDDOWN('Параметры ПФ'!$K$3/IF(H31=0,I31,IF(I31&gt;H31,H31,I31)),0)*G31)</f>
        <v>0</v>
      </c>
      <c r="N31" s="25">
        <f t="shared" si="5"/>
        <v>0</v>
      </c>
    </row>
    <row r="32" spans="1:14" x14ac:dyDescent="0.25">
      <c r="A32" s="3" t="s">
        <v>2</v>
      </c>
      <c r="B32" s="3"/>
      <c r="C32" s="3" t="s">
        <v>7</v>
      </c>
      <c r="D32" s="18"/>
      <c r="E32" s="18"/>
      <c r="F32" s="19"/>
      <c r="G32" s="19"/>
      <c r="H32" s="20"/>
      <c r="I32" s="4">
        <f>HLOOKUP($C32,'Параметры ПФ'!$F$8:$K$13,6,FALSE)*'Параметры ПФ'!$G$24</f>
        <v>104.91</v>
      </c>
      <c r="J32" s="4">
        <f t="shared" si="3"/>
        <v>0</v>
      </c>
      <c r="K32" s="5">
        <f>IF(J32&lt;'Параметры ПФ'!$K$3+0.01,'Дистанционные программы'!J32,ROUNDDOWN('Параметры ПФ'!$K$3/IF(H32=0,I32,IF(I32&gt;H32,H32,I32)),0)*IF(H32=0,I32,IF(I32&gt;H32,H32,I32)))</f>
        <v>0</v>
      </c>
      <c r="L32" s="4">
        <f t="shared" si="4"/>
        <v>0</v>
      </c>
      <c r="M32" s="33">
        <f>IF(J32&lt;'Параметры ПФ'!$K$3+0.01,E32*F32*G32,ROUNDDOWN('Параметры ПФ'!$K$3/IF(H32=0,I32,IF(I32&gt;H32,H32,I32)),0)*G32)</f>
        <v>0</v>
      </c>
      <c r="N32" s="25">
        <f t="shared" si="5"/>
        <v>0</v>
      </c>
    </row>
    <row r="33" spans="1:14" x14ac:dyDescent="0.25">
      <c r="A33" s="3" t="s">
        <v>2</v>
      </c>
      <c r="B33" s="3"/>
      <c r="C33" s="3" t="s">
        <v>7</v>
      </c>
      <c r="D33" s="18"/>
      <c r="E33" s="18"/>
      <c r="F33" s="19"/>
      <c r="G33" s="19"/>
      <c r="H33" s="20"/>
      <c r="I33" s="4">
        <f>HLOOKUP($C33,'Параметры ПФ'!$F$8:$K$13,6,FALSE)*'Параметры ПФ'!$G$24</f>
        <v>104.91</v>
      </c>
      <c r="J33" s="4">
        <f t="shared" si="3"/>
        <v>0</v>
      </c>
      <c r="K33" s="5">
        <f>IF(J33&lt;'Параметры ПФ'!$K$3+0.01,'Дистанционные программы'!J33,ROUNDDOWN('Параметры ПФ'!$K$3/IF(H33=0,I33,IF(I33&gt;H33,H33,I33)),0)*IF(H33=0,I33,IF(I33&gt;H33,H33,I33)))</f>
        <v>0</v>
      </c>
      <c r="L33" s="4">
        <f t="shared" si="4"/>
        <v>0</v>
      </c>
      <c r="M33" s="33">
        <f>IF(J33&lt;'Параметры ПФ'!$K$3+0.01,E33*F33*G33,ROUNDDOWN('Параметры ПФ'!$K$3/IF(H33=0,I33,IF(I33&gt;H33,H33,I33)),0)*G33)</f>
        <v>0</v>
      </c>
      <c r="N33" s="25">
        <f t="shared" si="5"/>
        <v>0</v>
      </c>
    </row>
    <row r="34" spans="1:14" x14ac:dyDescent="0.25">
      <c r="A34" s="3" t="s">
        <v>2</v>
      </c>
      <c r="B34" s="3"/>
      <c r="C34" s="3" t="s">
        <v>7</v>
      </c>
      <c r="D34" s="18"/>
      <c r="E34" s="18"/>
      <c r="F34" s="19"/>
      <c r="G34" s="19"/>
      <c r="H34" s="20"/>
      <c r="I34" s="4">
        <f>HLOOKUP($C34,'Параметры ПФ'!$F$8:$K$13,6,FALSE)*'Параметры ПФ'!$G$24</f>
        <v>104.91</v>
      </c>
      <c r="J34" s="4">
        <f t="shared" si="3"/>
        <v>0</v>
      </c>
      <c r="K34" s="5">
        <f>IF(J34&lt;'Параметры ПФ'!$K$3+0.01,'Дистанционные программы'!J34,ROUNDDOWN('Параметры ПФ'!$K$3/IF(H34=0,I34,IF(I34&gt;H34,H34,I34)),0)*IF(H34=0,I34,IF(I34&gt;H34,H34,I34)))</f>
        <v>0</v>
      </c>
      <c r="L34" s="4">
        <f t="shared" si="4"/>
        <v>0</v>
      </c>
      <c r="M34" s="33">
        <f>IF(J34&lt;'Параметры ПФ'!$K$3+0.01,E34*F34*G34,ROUNDDOWN('Параметры ПФ'!$K$3/IF(H34=0,I34,IF(I34&gt;H34,H34,I34)),0)*G34)</f>
        <v>0</v>
      </c>
      <c r="N34" s="25">
        <f t="shared" si="5"/>
        <v>0</v>
      </c>
    </row>
    <row r="35" spans="1:14" x14ac:dyDescent="0.25">
      <c r="A35" s="3" t="s">
        <v>2</v>
      </c>
      <c r="B35" s="3"/>
      <c r="C35" s="3" t="s">
        <v>7</v>
      </c>
      <c r="D35" s="18"/>
      <c r="E35" s="18"/>
      <c r="F35" s="19"/>
      <c r="G35" s="19"/>
      <c r="H35" s="20"/>
      <c r="I35" s="4">
        <f>HLOOKUP($C35,'Параметры ПФ'!$F$8:$K$13,6,FALSE)*'Параметры ПФ'!$G$24</f>
        <v>104.91</v>
      </c>
      <c r="J35" s="4">
        <f t="shared" si="3"/>
        <v>0</v>
      </c>
      <c r="K35" s="5">
        <f>IF(J35&lt;'Параметры ПФ'!$K$3+0.01,'Дистанционные программы'!J35,ROUNDDOWN('Параметры ПФ'!$K$3/IF(H35=0,I35,IF(I35&gt;H35,H35,I35)),0)*IF(H35=0,I35,IF(I35&gt;H35,H35,I35)))</f>
        <v>0</v>
      </c>
      <c r="L35" s="4">
        <f t="shared" si="4"/>
        <v>0</v>
      </c>
      <c r="M35" s="33">
        <f>IF(J35&lt;'Параметры ПФ'!$K$3+0.01,E35*F35*G35,ROUNDDOWN('Параметры ПФ'!$K$3/IF(H35=0,I35,IF(I35&gt;H35,H35,I35)),0)*G35)</f>
        <v>0</v>
      </c>
      <c r="N35" s="25">
        <f t="shared" si="5"/>
        <v>0</v>
      </c>
    </row>
    <row r="36" spans="1:14" x14ac:dyDescent="0.25">
      <c r="A36" s="3" t="s">
        <v>2</v>
      </c>
      <c r="B36" s="3"/>
      <c r="C36" s="3" t="s">
        <v>7</v>
      </c>
      <c r="D36" s="18"/>
      <c r="E36" s="18"/>
      <c r="F36" s="19"/>
      <c r="G36" s="19"/>
      <c r="H36" s="20"/>
      <c r="I36" s="4">
        <f>HLOOKUP($C36,'Параметры ПФ'!$F$8:$K$13,6,FALSE)*'Параметры ПФ'!$G$24</f>
        <v>104.91</v>
      </c>
      <c r="J36" s="4">
        <f t="shared" si="3"/>
        <v>0</v>
      </c>
      <c r="K36" s="5">
        <f>IF(J36&lt;'Параметры ПФ'!$K$3+0.01,'Дистанционные программы'!J36,ROUNDDOWN('Параметры ПФ'!$K$3/IF(H36=0,I36,IF(I36&gt;H36,H36,I36)),0)*IF(H36=0,I36,IF(I36&gt;H36,H36,I36)))</f>
        <v>0</v>
      </c>
      <c r="L36" s="4">
        <f t="shared" si="4"/>
        <v>0</v>
      </c>
      <c r="M36" s="33">
        <f>IF(J36&lt;'Параметры ПФ'!$K$3+0.01,E36*F36*G36,ROUNDDOWN('Параметры ПФ'!$K$3/IF(H36=0,I36,IF(I36&gt;H36,H36,I36)),0)*G36)</f>
        <v>0</v>
      </c>
      <c r="N36" s="25">
        <f t="shared" si="5"/>
        <v>0</v>
      </c>
    </row>
    <row r="37" spans="1:14" x14ac:dyDescent="0.25">
      <c r="A37" s="3" t="s">
        <v>2</v>
      </c>
      <c r="B37" s="3"/>
      <c r="C37" s="3" t="s">
        <v>7</v>
      </c>
      <c r="D37" s="18"/>
      <c r="E37" s="18"/>
      <c r="F37" s="19"/>
      <c r="G37" s="19"/>
      <c r="H37" s="20"/>
      <c r="I37" s="4">
        <f>HLOOKUP($C37,'Параметры ПФ'!$F$8:$K$13,6,FALSE)*'Параметры ПФ'!$G$24</f>
        <v>104.91</v>
      </c>
      <c r="J37" s="4">
        <f t="shared" si="3"/>
        <v>0</v>
      </c>
      <c r="K37" s="5">
        <f>IF(J37&lt;'Параметры ПФ'!$K$3+0.01,'Дистанционные программы'!J37,ROUNDDOWN('Параметры ПФ'!$K$3/IF(H37=0,I37,IF(I37&gt;H37,H37,I37)),0)*IF(H37=0,I37,IF(I37&gt;H37,H37,I37)))</f>
        <v>0</v>
      </c>
      <c r="L37" s="4">
        <f t="shared" si="4"/>
        <v>0</v>
      </c>
      <c r="M37" s="33">
        <f>IF(J37&lt;'Параметры ПФ'!$K$3+0.01,E37*F37*G37,ROUNDDOWN('Параметры ПФ'!$K$3/IF(H37=0,I37,IF(I37&gt;H37,H37,I37)),0)*G37)</f>
        <v>0</v>
      </c>
      <c r="N37" s="25">
        <f t="shared" si="5"/>
        <v>0</v>
      </c>
    </row>
    <row r="38" spans="1:14" x14ac:dyDescent="0.25">
      <c r="A38" s="3" t="s">
        <v>2</v>
      </c>
      <c r="B38" s="3"/>
      <c r="C38" s="3" t="s">
        <v>7</v>
      </c>
      <c r="D38" s="18"/>
      <c r="E38" s="18"/>
      <c r="F38" s="19"/>
      <c r="G38" s="19"/>
      <c r="H38" s="20"/>
      <c r="I38" s="4">
        <f>HLOOKUP($C38,'Параметры ПФ'!$F$8:$K$13,6,FALSE)*'Параметры ПФ'!$G$24</f>
        <v>104.91</v>
      </c>
      <c r="J38" s="4">
        <f t="shared" si="3"/>
        <v>0</v>
      </c>
      <c r="K38" s="5">
        <f>IF(J38&lt;'Параметры ПФ'!$K$3+0.01,'Дистанционные программы'!J38,ROUNDDOWN('Параметры ПФ'!$K$3/IF(H38=0,I38,IF(I38&gt;H38,H38,I38)),0)*IF(H38=0,I38,IF(I38&gt;H38,H38,I38)))</f>
        <v>0</v>
      </c>
      <c r="L38" s="4">
        <f t="shared" si="4"/>
        <v>0</v>
      </c>
      <c r="M38" s="33">
        <f>IF(J38&lt;'Параметры ПФ'!$K$3+0.01,E38*F38*G38,ROUNDDOWN('Параметры ПФ'!$K$3/IF(H38=0,I38,IF(I38&gt;H38,H38,I38)),0)*G38)</f>
        <v>0</v>
      </c>
      <c r="N38" s="25">
        <f t="shared" si="5"/>
        <v>0</v>
      </c>
    </row>
    <row r="39" spans="1:14" x14ac:dyDescent="0.25">
      <c r="A39" s="147"/>
      <c r="B39" s="147"/>
      <c r="C39" s="147"/>
      <c r="D39" s="147"/>
      <c r="E39" s="147"/>
      <c r="F39" s="147"/>
      <c r="G39" s="6">
        <f>SUM(G2:G38)</f>
        <v>0</v>
      </c>
      <c r="H39" s="7" t="s">
        <v>30</v>
      </c>
      <c r="I39" s="8" t="s">
        <v>30</v>
      </c>
      <c r="J39" s="7" t="s">
        <v>30</v>
      </c>
      <c r="K39" s="8" t="s">
        <v>30</v>
      </c>
      <c r="L39" s="31">
        <f>SUM(L2:L38)</f>
        <v>0</v>
      </c>
      <c r="M39" s="34">
        <f>SUM(M2:M38)</f>
        <v>0</v>
      </c>
      <c r="N39" s="26" t="s">
        <v>30</v>
      </c>
    </row>
  </sheetData>
  <mergeCells count="1">
    <mergeCell ref="A39:F39"/>
  </mergeCells>
  <conditionalFormatting sqref="N2:N38">
    <cfRule type="cellIs" dxfId="2" priority="1" operator="greaterThan"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56A0E7-5F77-4831-916A-E4015694AD5D}">
          <x14:formula1>
            <xm:f>'Параметры ПФ'!$F$8:$K$8</xm:f>
          </x14:formula1>
          <xm:sqref>C2:C28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A13" zoomScale="80" zoomScaleNormal="80" workbookViewId="0">
      <selection activeCell="H2" sqref="H2"/>
    </sheetView>
  </sheetViews>
  <sheetFormatPr defaultRowHeight="15.75" x14ac:dyDescent="0.25"/>
  <cols>
    <col min="1" max="3" width="24" customWidth="1"/>
    <col min="4" max="13" width="11.5" customWidth="1"/>
    <col min="14" max="14" width="16.5" customWidth="1"/>
  </cols>
  <sheetData>
    <row r="1" spans="1:14" ht="99.75" customHeight="1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43</v>
      </c>
      <c r="F1" s="14" t="s">
        <v>31</v>
      </c>
      <c r="G1" s="14" t="s">
        <v>28</v>
      </c>
      <c r="H1" s="15" t="s">
        <v>79</v>
      </c>
      <c r="I1" s="16" t="s">
        <v>29</v>
      </c>
      <c r="J1" s="16" t="s">
        <v>44</v>
      </c>
      <c r="K1" s="28" t="s">
        <v>45</v>
      </c>
      <c r="L1" s="16" t="s">
        <v>34</v>
      </c>
      <c r="M1" s="16" t="s">
        <v>51</v>
      </c>
      <c r="N1" s="24" t="s">
        <v>46</v>
      </c>
    </row>
    <row r="2" spans="1:14" x14ac:dyDescent="0.25">
      <c r="A2" s="3" t="s">
        <v>1</v>
      </c>
      <c r="B2" s="3"/>
      <c r="C2" s="3" t="s">
        <v>5</v>
      </c>
      <c r="D2" s="18"/>
      <c r="E2" s="18"/>
      <c r="F2" s="19"/>
      <c r="G2" s="19"/>
      <c r="H2" s="20"/>
      <c r="I2" s="4">
        <f>HLOOKUP($C2,'Параметры ПФ'!$F$8:$K$13,6,FALSE)*'Параметры ПФ'!$G$25</f>
        <v>105.97</v>
      </c>
      <c r="J2" s="4">
        <f>IF(H2=0,I2*F2*E2,IF(I2&gt;H2,H2*F2*E2,I2*F2*E2))</f>
        <v>0</v>
      </c>
      <c r="K2" s="5">
        <f>IF(J2&lt;'Параметры ПФ'!$K$3+0.01,'Очно-заочные программы'!J2,ROUNDDOWN('Параметры ПФ'!$K$3/IF(H2=0,I2,IF(I2&gt;H2,H2,I2)),0)*IF(H2=0,I2,IF(I2&gt;H2,H2,I2)))</f>
        <v>0</v>
      </c>
      <c r="L2" s="4">
        <f t="shared" ref="L2" si="0">K2*G2</f>
        <v>0</v>
      </c>
      <c r="M2" s="33">
        <f>IF(J2&lt;'Параметры ПФ'!$K$3+0.01,E2*F2*G2,ROUNDDOWN('Параметры ПФ'!$K$3/IF(H2=0,I2,IF(I2&gt;H2,H2,I2)),0)*G2)</f>
        <v>0</v>
      </c>
      <c r="N2" s="25">
        <f>IF(H2=0,I2*F2*E2,IF(I2&gt;H2,H2*F2*E2,I2*F2*E2))-K2</f>
        <v>0</v>
      </c>
    </row>
    <row r="3" spans="1:14" x14ac:dyDescent="0.25">
      <c r="A3" s="3" t="s">
        <v>1</v>
      </c>
      <c r="B3" s="3"/>
      <c r="C3" s="3" t="s">
        <v>5</v>
      </c>
      <c r="D3" s="18"/>
      <c r="E3" s="18"/>
      <c r="F3" s="19"/>
      <c r="G3" s="19"/>
      <c r="H3" s="20"/>
      <c r="I3" s="4">
        <f>HLOOKUP($C3,'Параметры ПФ'!$F$8:$K$13,6,FALSE)*'Параметры ПФ'!$G$25</f>
        <v>105.97</v>
      </c>
      <c r="J3" s="4">
        <f t="shared" ref="J3:J38" si="1">IF(H3=0,I3*F3*E3,IF(I3&gt;H3,H3*F3*E3,I3*F3*E3))</f>
        <v>0</v>
      </c>
      <c r="K3" s="5">
        <f>IF(J3&lt;'Параметры ПФ'!$K$3+0.01,'Очно-заочные программы'!J3,ROUNDDOWN('Параметры ПФ'!$K$3/IF(H3=0,I3,IF(I3&gt;H3,H3,I3)),0)*IF(H3=0,I3,IF(I3&gt;H3,H3,I3)))</f>
        <v>0</v>
      </c>
      <c r="L3" s="4">
        <f t="shared" ref="L3:L38" si="2">K3*G3</f>
        <v>0</v>
      </c>
      <c r="M3" s="33">
        <f>IF(J3&lt;'Параметры ПФ'!$K$3+0.01,E3*F3*G3,ROUNDDOWN('Параметры ПФ'!$K$3/IF(H3=0,I3,IF(I3&gt;H3,H3,I3)),0)*G3)</f>
        <v>0</v>
      </c>
      <c r="N3" s="25">
        <f t="shared" ref="N3:N38" si="3">IF(H3=0,I3*F3*E3,IF(I3&gt;H3,H3*F3*E3,I3*F3*E3))-K3</f>
        <v>0</v>
      </c>
    </row>
    <row r="4" spans="1:14" x14ac:dyDescent="0.25">
      <c r="A4" s="3" t="s">
        <v>2</v>
      </c>
      <c r="B4" s="3"/>
      <c r="C4" s="3" t="s">
        <v>5</v>
      </c>
      <c r="D4" s="18"/>
      <c r="E4" s="18"/>
      <c r="F4" s="19"/>
      <c r="G4" s="19"/>
      <c r="H4" s="20"/>
      <c r="I4" s="4">
        <f>HLOOKUP($C4,'Параметры ПФ'!$F$8:$K$13,6,FALSE)*'Параметры ПФ'!$G$25</f>
        <v>105.97</v>
      </c>
      <c r="J4" s="4">
        <f t="shared" si="1"/>
        <v>0</v>
      </c>
      <c r="K4" s="5">
        <f>IF(J4&lt;'Параметры ПФ'!$K$3+0.01,'Очно-заочные программы'!J4,ROUNDDOWN('Параметры ПФ'!$K$3/IF(H4=0,I4,IF(I4&gt;H4,H4,I4)),0)*IF(H4=0,I4,IF(I4&gt;H4,H4,I4)))</f>
        <v>0</v>
      </c>
      <c r="L4" s="4">
        <f t="shared" si="2"/>
        <v>0</v>
      </c>
      <c r="M4" s="33">
        <f>IF(J4&lt;'Параметры ПФ'!$K$3+0.01,E4*F4*G4,ROUNDDOWN('Параметры ПФ'!$K$3/IF(H4=0,I4,IF(I4&gt;H4,H4,I4)),0)*G4)</f>
        <v>0</v>
      </c>
      <c r="N4" s="25">
        <f t="shared" si="3"/>
        <v>0</v>
      </c>
    </row>
    <row r="5" spans="1:14" x14ac:dyDescent="0.25">
      <c r="A5" s="3" t="s">
        <v>1</v>
      </c>
      <c r="B5" s="3"/>
      <c r="C5" s="3" t="s">
        <v>5</v>
      </c>
      <c r="D5" s="18"/>
      <c r="E5" s="18"/>
      <c r="F5" s="19"/>
      <c r="G5" s="19"/>
      <c r="H5" s="20"/>
      <c r="I5" s="4">
        <f>HLOOKUP($C5,'Параметры ПФ'!$F$8:$K$13,6,FALSE)*'Параметры ПФ'!$G$25</f>
        <v>105.97</v>
      </c>
      <c r="J5" s="4">
        <f t="shared" si="1"/>
        <v>0</v>
      </c>
      <c r="K5" s="5">
        <f>IF(J5&lt;'Параметры ПФ'!$K$3+0.01,'Очно-заочные программы'!J5,ROUNDDOWN('Параметры ПФ'!$K$3/IF(H5=0,I5,IF(I5&gt;H5,H5,I5)),0)*IF(H5=0,I5,IF(I5&gt;H5,H5,I5)))</f>
        <v>0</v>
      </c>
      <c r="L5" s="4">
        <f t="shared" si="2"/>
        <v>0</v>
      </c>
      <c r="M5" s="33">
        <f>IF(J5&lt;'Параметры ПФ'!$K$3+0.01,E5*F5*G5,ROUNDDOWN('Параметры ПФ'!$K$3/IF(H5=0,I5,IF(I5&gt;H5,H5,I5)),0)*G5)</f>
        <v>0</v>
      </c>
      <c r="N5" s="25">
        <f t="shared" si="3"/>
        <v>0</v>
      </c>
    </row>
    <row r="6" spans="1:14" x14ac:dyDescent="0.25">
      <c r="A6" s="3" t="s">
        <v>2</v>
      </c>
      <c r="B6" s="3"/>
      <c r="C6" s="3" t="s">
        <v>5</v>
      </c>
      <c r="D6" s="18"/>
      <c r="E6" s="18"/>
      <c r="F6" s="19"/>
      <c r="G6" s="19"/>
      <c r="H6" s="20"/>
      <c r="I6" s="4">
        <f>HLOOKUP($C6,'Параметры ПФ'!$F$8:$K$13,6,FALSE)*'Параметры ПФ'!$G$25</f>
        <v>105.97</v>
      </c>
      <c r="J6" s="4">
        <f t="shared" si="1"/>
        <v>0</v>
      </c>
      <c r="K6" s="5">
        <f>IF(J6&lt;'Параметры ПФ'!$K$3+0.01,'Очно-заочные программы'!J6,ROUNDDOWN('Параметры ПФ'!$K$3/IF(H6=0,I6,IF(I6&gt;H6,H6,I6)),0)*IF(H6=0,I6,IF(I6&gt;H6,H6,I6)))</f>
        <v>0</v>
      </c>
      <c r="L6" s="4">
        <f t="shared" si="2"/>
        <v>0</v>
      </c>
      <c r="M6" s="33">
        <f>IF(J6&lt;'Параметры ПФ'!$K$3+0.01,E6*F6*G6,ROUNDDOWN('Параметры ПФ'!$K$3/IF(H6=0,I6,IF(I6&gt;H6,H6,I6)),0)*G6)</f>
        <v>0</v>
      </c>
      <c r="N6" s="25">
        <f t="shared" si="3"/>
        <v>0</v>
      </c>
    </row>
    <row r="7" spans="1:14" x14ac:dyDescent="0.25">
      <c r="A7" s="3" t="s">
        <v>2</v>
      </c>
      <c r="B7" s="3"/>
      <c r="C7" s="3" t="s">
        <v>5</v>
      </c>
      <c r="D7" s="18"/>
      <c r="E7" s="18"/>
      <c r="F7" s="19"/>
      <c r="G7" s="19"/>
      <c r="H7" s="20"/>
      <c r="I7" s="4">
        <f>HLOOKUP($C7,'Параметры ПФ'!$F$8:$K$13,6,FALSE)*'Параметры ПФ'!$G$25</f>
        <v>105.97</v>
      </c>
      <c r="J7" s="4">
        <f t="shared" si="1"/>
        <v>0</v>
      </c>
      <c r="K7" s="5">
        <f>IF(J7&lt;'Параметры ПФ'!$K$3+0.01,'Очно-заочные программы'!J7,ROUNDDOWN('Параметры ПФ'!$K$3/IF(H7=0,I7,IF(I7&gt;H7,H7,I7)),0)*IF(H7=0,I7,IF(I7&gt;H7,H7,I7)))</f>
        <v>0</v>
      </c>
      <c r="L7" s="4">
        <f t="shared" si="2"/>
        <v>0</v>
      </c>
      <c r="M7" s="33">
        <f>IF(J7&lt;'Параметры ПФ'!$K$3+0.01,E7*F7*G7,ROUNDDOWN('Параметры ПФ'!$K$3/IF(H7=0,I7,IF(I7&gt;H7,H7,I7)),0)*G7)</f>
        <v>0</v>
      </c>
      <c r="N7" s="25">
        <f t="shared" si="3"/>
        <v>0</v>
      </c>
    </row>
    <row r="8" spans="1:14" x14ac:dyDescent="0.25">
      <c r="A8" s="3" t="s">
        <v>36</v>
      </c>
      <c r="B8" s="3"/>
      <c r="C8" s="3" t="s">
        <v>5</v>
      </c>
      <c r="D8" s="18"/>
      <c r="E8" s="18"/>
      <c r="F8" s="19"/>
      <c r="G8" s="19"/>
      <c r="H8" s="20"/>
      <c r="I8" s="4">
        <f>HLOOKUP($C8,'Параметры ПФ'!$F$8:$K$13,6,FALSE)*'Параметры ПФ'!$G$25</f>
        <v>105.97</v>
      </c>
      <c r="J8" s="4">
        <f t="shared" si="1"/>
        <v>0</v>
      </c>
      <c r="K8" s="5">
        <f>IF(J8&lt;'Параметры ПФ'!$K$3+0.01,'Очно-заочные программы'!J8,ROUNDDOWN('Параметры ПФ'!$K$3/IF(H8=0,I8,IF(I8&gt;H8,H8,I8)),0)*IF(H8=0,I8,IF(I8&gt;H8,H8,I8)))</f>
        <v>0</v>
      </c>
      <c r="L8" s="4">
        <f t="shared" si="2"/>
        <v>0</v>
      </c>
      <c r="M8" s="33">
        <f>IF(J8&lt;'Параметры ПФ'!$K$3+0.01,E8*F8*G8,ROUNDDOWN('Параметры ПФ'!$K$3/IF(H8=0,I8,IF(I8&gt;H8,H8,I8)),0)*G8)</f>
        <v>0</v>
      </c>
      <c r="N8" s="25">
        <f t="shared" si="3"/>
        <v>0</v>
      </c>
    </row>
    <row r="9" spans="1:14" x14ac:dyDescent="0.25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>HLOOKUP($C9,'Параметры ПФ'!$F$8:$K$13,6,FALSE)*'Параметры ПФ'!$G$25</f>
        <v>105.97</v>
      </c>
      <c r="J9" s="4">
        <f t="shared" si="1"/>
        <v>0</v>
      </c>
      <c r="K9" s="5">
        <f>IF(J9&lt;'Параметры ПФ'!$K$3+0.01,'Очно-заочные программы'!J9,ROUNDDOWN('Параметры ПФ'!$K$3/IF(H9=0,I9,IF(I9&gt;H9,H9,I9)),0)*IF(H9=0,I9,IF(I9&gt;H9,H9,I9)))</f>
        <v>0</v>
      </c>
      <c r="L9" s="4">
        <f t="shared" si="2"/>
        <v>0</v>
      </c>
      <c r="M9" s="33">
        <f>IF(J9&lt;'Параметры ПФ'!$K$3+0.01,E9*F9*G9,ROUNDDOWN('Параметры ПФ'!$K$3/IF(H9=0,I9,IF(I9&gt;H9,H9,I9)),0)*G9)</f>
        <v>0</v>
      </c>
      <c r="N9" s="25">
        <f t="shared" si="3"/>
        <v>0</v>
      </c>
    </row>
    <row r="10" spans="1:14" x14ac:dyDescent="0.25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>HLOOKUP($C10,'Параметры ПФ'!$F$8:$K$13,6,FALSE)*'Параметры ПФ'!$G$25</f>
        <v>105.97</v>
      </c>
      <c r="J10" s="4">
        <f t="shared" si="1"/>
        <v>0</v>
      </c>
      <c r="K10" s="5">
        <f>IF(J10&lt;'Параметры ПФ'!$K$3+0.01,'Очно-заочные программы'!J10,ROUNDDOWN('Параметры ПФ'!$K$3/IF(H10=0,I10,IF(I10&gt;H10,H10,I10)),0)*IF(H10=0,I10,IF(I10&gt;H10,H10,I10)))</f>
        <v>0</v>
      </c>
      <c r="L10" s="4">
        <f t="shared" si="2"/>
        <v>0</v>
      </c>
      <c r="M10" s="33">
        <f>IF(J10&lt;'Параметры ПФ'!$K$3+0.01,E10*F10*G10,ROUNDDOWN('Параметры ПФ'!$K$3/IF(H10=0,I10,IF(I10&gt;H10,H10,I10)),0)*G10)</f>
        <v>0</v>
      </c>
      <c r="N10" s="25">
        <f t="shared" si="3"/>
        <v>0</v>
      </c>
    </row>
    <row r="11" spans="1:14" x14ac:dyDescent="0.25">
      <c r="A11" s="3" t="s">
        <v>2</v>
      </c>
      <c r="B11" s="3"/>
      <c r="C11" s="3" t="s">
        <v>5</v>
      </c>
      <c r="D11" s="18"/>
      <c r="E11" s="18"/>
      <c r="F11" s="19"/>
      <c r="G11" s="19"/>
      <c r="H11" s="20"/>
      <c r="I11" s="4">
        <f>HLOOKUP($C11,'Параметры ПФ'!$F$8:$K$13,6,FALSE)*'Параметры ПФ'!$G$25</f>
        <v>105.97</v>
      </c>
      <c r="J11" s="4">
        <f t="shared" si="1"/>
        <v>0</v>
      </c>
      <c r="K11" s="5">
        <f>IF(J11&lt;'Параметры ПФ'!$K$3+0.01,'Очно-заочные программы'!J11,ROUNDDOWN('Параметры ПФ'!$K$3/IF(H11=0,I11,IF(I11&gt;H11,H11,I11)),0)*IF(H11=0,I11,IF(I11&gt;H11,H11,I11)))</f>
        <v>0</v>
      </c>
      <c r="L11" s="4">
        <f t="shared" si="2"/>
        <v>0</v>
      </c>
      <c r="M11" s="33">
        <f>IF(J11&lt;'Параметры ПФ'!$K$3+0.01,E11*F11*G11,ROUNDDOWN('Параметры ПФ'!$K$3/IF(H11=0,I11,IF(I11&gt;H11,H11,I11)),0)*G11)</f>
        <v>0</v>
      </c>
      <c r="N11" s="25">
        <f t="shared" si="3"/>
        <v>0</v>
      </c>
    </row>
    <row r="12" spans="1:14" x14ac:dyDescent="0.25">
      <c r="A12" s="3" t="s">
        <v>2</v>
      </c>
      <c r="B12" s="3"/>
      <c r="C12" s="3" t="s">
        <v>5</v>
      </c>
      <c r="D12" s="18"/>
      <c r="E12" s="18"/>
      <c r="F12" s="19"/>
      <c r="G12" s="19"/>
      <c r="H12" s="20"/>
      <c r="I12" s="4">
        <f>HLOOKUP($C12,'Параметры ПФ'!$F$8:$K$13,6,FALSE)*'Параметры ПФ'!$G$25</f>
        <v>105.97</v>
      </c>
      <c r="J12" s="4">
        <f t="shared" si="1"/>
        <v>0</v>
      </c>
      <c r="K12" s="5">
        <f>IF(J12&lt;'Параметры ПФ'!$K$3+0.01,'Очно-заочные программы'!J12,ROUNDDOWN('Параметры ПФ'!$K$3/IF(H12=0,I12,IF(I12&gt;H12,H12,I12)),0)*IF(H12=0,I12,IF(I12&gt;H12,H12,I12)))</f>
        <v>0</v>
      </c>
      <c r="L12" s="4">
        <f t="shared" si="2"/>
        <v>0</v>
      </c>
      <c r="M12" s="33">
        <f>IF(J12&lt;'Параметры ПФ'!$K$3+0.01,E12*F12*G12,ROUNDDOWN('Параметры ПФ'!$K$3/IF(H12=0,I12,IF(I12&gt;H12,H12,I12)),0)*G12)</f>
        <v>0</v>
      </c>
      <c r="N12" s="25">
        <f t="shared" si="3"/>
        <v>0</v>
      </c>
    </row>
    <row r="13" spans="1:14" x14ac:dyDescent="0.25">
      <c r="A13" s="3" t="s">
        <v>2</v>
      </c>
      <c r="B13" s="3"/>
      <c r="C13" s="3" t="s">
        <v>5</v>
      </c>
      <c r="D13" s="18"/>
      <c r="E13" s="18"/>
      <c r="F13" s="19"/>
      <c r="G13" s="19"/>
      <c r="H13" s="20"/>
      <c r="I13" s="4">
        <f>HLOOKUP($C13,'Параметры ПФ'!$F$8:$K$13,6,FALSE)*'Параметры ПФ'!$G$25</f>
        <v>105.97</v>
      </c>
      <c r="J13" s="4">
        <f t="shared" si="1"/>
        <v>0</v>
      </c>
      <c r="K13" s="5">
        <f>IF(J13&lt;'Параметры ПФ'!$K$3+0.01,'Очно-заочные программы'!J13,ROUNDDOWN('Параметры ПФ'!$K$3/IF(H13=0,I13,IF(I13&gt;H13,H13,I13)),0)*IF(H13=0,I13,IF(I13&gt;H13,H13,I13)))</f>
        <v>0</v>
      </c>
      <c r="L13" s="4">
        <f t="shared" si="2"/>
        <v>0</v>
      </c>
      <c r="M13" s="33">
        <f>IF(J13&lt;'Параметры ПФ'!$K$3+0.01,E13*F13*G13,ROUNDDOWN('Параметры ПФ'!$K$3/IF(H13=0,I13,IF(I13&gt;H13,H13,I13)),0)*G13)</f>
        <v>0</v>
      </c>
      <c r="N13" s="25">
        <f t="shared" si="3"/>
        <v>0</v>
      </c>
    </row>
    <row r="14" spans="1:14" x14ac:dyDescent="0.25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>HLOOKUP($C14,'Параметры ПФ'!$F$8:$K$13,6,FALSE)*'Параметры ПФ'!$G$25</f>
        <v>105.97</v>
      </c>
      <c r="J14" s="4">
        <f t="shared" si="1"/>
        <v>0</v>
      </c>
      <c r="K14" s="5">
        <f>IF(J14&lt;'Параметры ПФ'!$K$3+0.01,'Очно-заочные программы'!J14,ROUNDDOWN('Параметры ПФ'!$K$3/IF(H14=0,I14,IF(I14&gt;H14,H14,I14)),0)*IF(H14=0,I14,IF(I14&gt;H14,H14,I14)))</f>
        <v>0</v>
      </c>
      <c r="L14" s="4">
        <f t="shared" si="2"/>
        <v>0</v>
      </c>
      <c r="M14" s="33">
        <f>IF(J14&lt;'Параметры ПФ'!$K$3+0.01,E14*F14*G14,ROUNDDOWN('Параметры ПФ'!$K$3/IF(H14=0,I14,IF(I14&gt;H14,H14,I14)),0)*G14)</f>
        <v>0</v>
      </c>
      <c r="N14" s="25">
        <f t="shared" si="3"/>
        <v>0</v>
      </c>
    </row>
    <row r="15" spans="1:14" x14ac:dyDescent="0.25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>HLOOKUP($C15,'Параметры ПФ'!$F$8:$K$13,6,FALSE)*'Параметры ПФ'!$G$25</f>
        <v>105.97</v>
      </c>
      <c r="J15" s="4">
        <f t="shared" si="1"/>
        <v>0</v>
      </c>
      <c r="K15" s="5">
        <f>IF(J15&lt;'Параметры ПФ'!$K$3+0.01,'Очно-заочные программы'!J15,ROUNDDOWN('Параметры ПФ'!$K$3/IF(H15=0,I15,IF(I15&gt;H15,H15,I15)),0)*IF(H15=0,I15,IF(I15&gt;H15,H15,I15)))</f>
        <v>0</v>
      </c>
      <c r="L15" s="4">
        <f t="shared" si="2"/>
        <v>0</v>
      </c>
      <c r="M15" s="33">
        <f>IF(J15&lt;'Параметры ПФ'!$K$3+0.01,E15*F15*G15,ROUNDDOWN('Параметры ПФ'!$K$3/IF(H15=0,I15,IF(I15&gt;H15,H15,I15)),0)*G15)</f>
        <v>0</v>
      </c>
      <c r="N15" s="25">
        <f t="shared" si="3"/>
        <v>0</v>
      </c>
    </row>
    <row r="16" spans="1:14" x14ac:dyDescent="0.25">
      <c r="A16" s="3" t="s">
        <v>2</v>
      </c>
      <c r="B16" s="3"/>
      <c r="C16" s="3" t="s">
        <v>5</v>
      </c>
      <c r="D16" s="18"/>
      <c r="E16" s="18"/>
      <c r="F16" s="19"/>
      <c r="G16" s="19"/>
      <c r="H16" s="20"/>
      <c r="I16" s="4">
        <f>HLOOKUP($C16,'Параметры ПФ'!$F$8:$K$13,6,FALSE)*'Параметры ПФ'!$G$25</f>
        <v>105.97</v>
      </c>
      <c r="J16" s="4">
        <f t="shared" si="1"/>
        <v>0</v>
      </c>
      <c r="K16" s="5">
        <f>IF(J16&lt;'Параметры ПФ'!$K$3+0.01,'Очно-заочные программы'!J16,ROUNDDOWN('Параметры ПФ'!$K$3/IF(H16=0,I16,IF(I16&gt;H16,H16,I16)),0)*IF(H16=0,I16,IF(I16&gt;H16,H16,I16)))</f>
        <v>0</v>
      </c>
      <c r="L16" s="4">
        <f t="shared" si="2"/>
        <v>0</v>
      </c>
      <c r="M16" s="33">
        <f>IF(J16&lt;'Параметры ПФ'!$K$3+0.01,E16*F16*G16,ROUNDDOWN('Параметры ПФ'!$K$3/IF(H16=0,I16,IF(I16&gt;H16,H16,I16)),0)*G16)</f>
        <v>0</v>
      </c>
      <c r="N16" s="25">
        <f t="shared" si="3"/>
        <v>0</v>
      </c>
    </row>
    <row r="17" spans="1:14" x14ac:dyDescent="0.25">
      <c r="A17" s="3" t="s">
        <v>2</v>
      </c>
      <c r="B17" s="3"/>
      <c r="C17" s="3" t="s">
        <v>5</v>
      </c>
      <c r="D17" s="18"/>
      <c r="E17" s="18"/>
      <c r="F17" s="19"/>
      <c r="G17" s="19"/>
      <c r="H17" s="20"/>
      <c r="I17" s="4">
        <f>HLOOKUP($C17,'Параметры ПФ'!$F$8:$K$13,6,FALSE)*'Параметры ПФ'!$G$25</f>
        <v>105.97</v>
      </c>
      <c r="J17" s="4">
        <f t="shared" si="1"/>
        <v>0</v>
      </c>
      <c r="K17" s="5">
        <f>IF(J17&lt;'Параметры ПФ'!$K$3+0.01,'Очно-заочные программы'!J17,ROUNDDOWN('Параметры ПФ'!$K$3/IF(H17=0,I17,IF(I17&gt;H17,H17,I17)),0)*IF(H17=0,I17,IF(I17&gt;H17,H17,I17)))</f>
        <v>0</v>
      </c>
      <c r="L17" s="4">
        <f t="shared" si="2"/>
        <v>0</v>
      </c>
      <c r="M17" s="33">
        <f>IF(J17&lt;'Параметры ПФ'!$K$3+0.01,E17*F17*G17,ROUNDDOWN('Параметры ПФ'!$K$3/IF(H17=0,I17,IF(I17&gt;H17,H17,I17)),0)*G17)</f>
        <v>0</v>
      </c>
      <c r="N17" s="25">
        <f t="shared" si="3"/>
        <v>0</v>
      </c>
    </row>
    <row r="18" spans="1:14" x14ac:dyDescent="0.25">
      <c r="A18" s="3" t="s">
        <v>2</v>
      </c>
      <c r="B18" s="3"/>
      <c r="C18" s="3" t="s">
        <v>5</v>
      </c>
      <c r="D18" s="18"/>
      <c r="E18" s="18"/>
      <c r="F18" s="19"/>
      <c r="G18" s="19"/>
      <c r="H18" s="20"/>
      <c r="I18" s="4">
        <f>HLOOKUP($C18,'Параметры ПФ'!$F$8:$K$13,6,FALSE)*'Параметры ПФ'!$G$25</f>
        <v>105.97</v>
      </c>
      <c r="J18" s="4">
        <f t="shared" si="1"/>
        <v>0</v>
      </c>
      <c r="K18" s="5">
        <f>IF(J18&lt;'Параметры ПФ'!$K$3+0.01,'Очно-заочные программы'!J18,ROUNDDOWN('Параметры ПФ'!$K$3/IF(H18=0,I18,IF(I18&gt;H18,H18,I18)),0)*IF(H18=0,I18,IF(I18&gt;H18,H18,I18)))</f>
        <v>0</v>
      </c>
      <c r="L18" s="4">
        <f t="shared" si="2"/>
        <v>0</v>
      </c>
      <c r="M18" s="33">
        <f>IF(J18&lt;'Параметры ПФ'!$K$3+0.01,E18*F18*G18,ROUNDDOWN('Параметры ПФ'!$K$3/IF(H18=0,I18,IF(I18&gt;H18,H18,I18)),0)*G18)</f>
        <v>0</v>
      </c>
      <c r="N18" s="25">
        <f t="shared" si="3"/>
        <v>0</v>
      </c>
    </row>
    <row r="19" spans="1:14" x14ac:dyDescent="0.25">
      <c r="A19" s="3" t="s">
        <v>2</v>
      </c>
      <c r="B19" s="3"/>
      <c r="C19" s="3" t="s">
        <v>5</v>
      </c>
      <c r="D19" s="18"/>
      <c r="E19" s="18"/>
      <c r="F19" s="19"/>
      <c r="G19" s="19"/>
      <c r="H19" s="20"/>
      <c r="I19" s="4">
        <f>HLOOKUP($C19,'Параметры ПФ'!$F$8:$K$13,6,FALSE)*'Параметры ПФ'!$G$25</f>
        <v>105.97</v>
      </c>
      <c r="J19" s="4">
        <f t="shared" si="1"/>
        <v>0</v>
      </c>
      <c r="K19" s="5">
        <f>IF(J19&lt;'Параметры ПФ'!$K$3+0.01,'Очно-заочные программы'!J19,ROUNDDOWN('Параметры ПФ'!$K$3/IF(H19=0,I19,IF(I19&gt;H19,H19,I19)),0)*IF(H19=0,I19,IF(I19&gt;H19,H19,I19)))</f>
        <v>0</v>
      </c>
      <c r="L19" s="4">
        <f t="shared" si="2"/>
        <v>0</v>
      </c>
      <c r="M19" s="33">
        <f>IF(J19&lt;'Параметры ПФ'!$K$3+0.01,E19*F19*G19,ROUNDDOWN('Параметры ПФ'!$K$3/IF(H19=0,I19,IF(I19&gt;H19,H19,I19)),0)*G19)</f>
        <v>0</v>
      </c>
      <c r="N19" s="25">
        <f t="shared" si="3"/>
        <v>0</v>
      </c>
    </row>
    <row r="20" spans="1:14" x14ac:dyDescent="0.25">
      <c r="A20" s="3" t="s">
        <v>2</v>
      </c>
      <c r="B20" s="3"/>
      <c r="C20" s="3" t="s">
        <v>5</v>
      </c>
      <c r="D20" s="18"/>
      <c r="E20" s="18"/>
      <c r="F20" s="19"/>
      <c r="G20" s="19"/>
      <c r="H20" s="20"/>
      <c r="I20" s="4">
        <f>HLOOKUP($C20,'Параметры ПФ'!$F$8:$K$13,6,FALSE)*'Параметры ПФ'!$G$25</f>
        <v>105.97</v>
      </c>
      <c r="J20" s="4">
        <f t="shared" si="1"/>
        <v>0</v>
      </c>
      <c r="K20" s="5">
        <f>IF(J20&lt;'Параметры ПФ'!$K$3+0.01,'Очно-заочные программы'!J20,ROUNDDOWN('Параметры ПФ'!$K$3/IF(H20=0,I20,IF(I20&gt;H20,H20,I20)),0)*IF(H20=0,I20,IF(I20&gt;H20,H20,I20)))</f>
        <v>0</v>
      </c>
      <c r="L20" s="4">
        <f t="shared" si="2"/>
        <v>0</v>
      </c>
      <c r="M20" s="33">
        <f>IF(J20&lt;'Параметры ПФ'!$K$3+0.01,E20*F20*G20,ROUNDDOWN('Параметры ПФ'!$K$3/IF(H20=0,I20,IF(I20&gt;H20,H20,I20)),0)*G20)</f>
        <v>0</v>
      </c>
      <c r="N20" s="25">
        <f t="shared" si="3"/>
        <v>0</v>
      </c>
    </row>
    <row r="21" spans="1:14" x14ac:dyDescent="0.25">
      <c r="A21" s="3" t="s">
        <v>2</v>
      </c>
      <c r="B21" s="3"/>
      <c r="C21" s="3" t="s">
        <v>5</v>
      </c>
      <c r="D21" s="18"/>
      <c r="E21" s="18"/>
      <c r="F21" s="19"/>
      <c r="G21" s="19"/>
      <c r="H21" s="20"/>
      <c r="I21" s="4">
        <f>HLOOKUP($C21,'Параметры ПФ'!$F$8:$K$13,6,FALSE)*'Параметры ПФ'!$G$25</f>
        <v>105.97</v>
      </c>
      <c r="J21" s="4">
        <f t="shared" si="1"/>
        <v>0</v>
      </c>
      <c r="K21" s="5">
        <f>IF(J21&lt;'Параметры ПФ'!$K$3+0.01,'Очно-заочные программы'!J21,ROUNDDOWN('Параметры ПФ'!$K$3/IF(H21=0,I21,IF(I21&gt;H21,H21,I21)),0)*IF(H21=0,I21,IF(I21&gt;H21,H21,I21)))</f>
        <v>0</v>
      </c>
      <c r="L21" s="4">
        <f t="shared" si="2"/>
        <v>0</v>
      </c>
      <c r="M21" s="33">
        <f>IF(J21&lt;'Параметры ПФ'!$K$3+0.01,E21*F21*G21,ROUNDDOWN('Параметры ПФ'!$K$3/IF(H21=0,I21,IF(I21&gt;H21,H21,I21)),0)*G21)</f>
        <v>0</v>
      </c>
      <c r="N21" s="25">
        <f t="shared" si="3"/>
        <v>0</v>
      </c>
    </row>
    <row r="22" spans="1:14" x14ac:dyDescent="0.25">
      <c r="A22" s="3" t="s">
        <v>2</v>
      </c>
      <c r="B22" s="3"/>
      <c r="C22" s="3" t="s">
        <v>5</v>
      </c>
      <c r="D22" s="18"/>
      <c r="E22" s="18"/>
      <c r="F22" s="19"/>
      <c r="G22" s="19"/>
      <c r="H22" s="20"/>
      <c r="I22" s="4">
        <f>HLOOKUP($C22,'Параметры ПФ'!$F$8:$K$13,6,FALSE)*'Параметры ПФ'!$G$25</f>
        <v>105.97</v>
      </c>
      <c r="J22" s="4">
        <f t="shared" si="1"/>
        <v>0</v>
      </c>
      <c r="K22" s="5">
        <f>IF(J22&lt;'Параметры ПФ'!$K$3+0.01,'Очно-заочные программы'!J22,ROUNDDOWN('Параметры ПФ'!$K$3/IF(H22=0,I22,IF(I22&gt;H22,H22,I22)),0)*IF(H22=0,I22,IF(I22&gt;H22,H22,I22)))</f>
        <v>0</v>
      </c>
      <c r="L22" s="4">
        <f t="shared" si="2"/>
        <v>0</v>
      </c>
      <c r="M22" s="33">
        <f>IF(J22&lt;'Параметры ПФ'!$K$3+0.01,E22*F22*G22,ROUNDDOWN('Параметры ПФ'!$K$3/IF(H22=0,I22,IF(I22&gt;H22,H22,I22)),0)*G22)</f>
        <v>0</v>
      </c>
      <c r="N22" s="25">
        <f t="shared" si="3"/>
        <v>0</v>
      </c>
    </row>
    <row r="23" spans="1:14" x14ac:dyDescent="0.25">
      <c r="A23" s="3" t="s">
        <v>2</v>
      </c>
      <c r="B23" s="3"/>
      <c r="C23" s="3" t="s">
        <v>5</v>
      </c>
      <c r="D23" s="18"/>
      <c r="E23" s="18"/>
      <c r="F23" s="19"/>
      <c r="G23" s="19"/>
      <c r="H23" s="20"/>
      <c r="I23" s="4">
        <f>HLOOKUP($C23,'Параметры ПФ'!$F$8:$K$13,6,FALSE)*'Параметры ПФ'!$G$25</f>
        <v>105.97</v>
      </c>
      <c r="J23" s="4">
        <f t="shared" si="1"/>
        <v>0</v>
      </c>
      <c r="K23" s="5">
        <f>IF(J23&lt;'Параметры ПФ'!$K$3+0.01,'Очно-заочные программы'!J23,ROUNDDOWN('Параметры ПФ'!$K$3/IF(H23=0,I23,IF(I23&gt;H23,H23,I23)),0)*IF(H23=0,I23,IF(I23&gt;H23,H23,I23)))</f>
        <v>0</v>
      </c>
      <c r="L23" s="4">
        <f t="shared" si="2"/>
        <v>0</v>
      </c>
      <c r="M23" s="33">
        <f>IF(J23&lt;'Параметры ПФ'!$K$3+0.01,E23*F23*G23,ROUNDDOWN('Параметры ПФ'!$K$3/IF(H23=0,I23,IF(I23&gt;H23,H23,I23)),0)*G23)</f>
        <v>0</v>
      </c>
      <c r="N23" s="25">
        <f t="shared" si="3"/>
        <v>0</v>
      </c>
    </row>
    <row r="24" spans="1:14" x14ac:dyDescent="0.25">
      <c r="A24" s="3" t="s">
        <v>2</v>
      </c>
      <c r="B24" s="3"/>
      <c r="C24" s="3" t="s">
        <v>5</v>
      </c>
      <c r="D24" s="18"/>
      <c r="E24" s="18"/>
      <c r="F24" s="19"/>
      <c r="G24" s="19"/>
      <c r="H24" s="20"/>
      <c r="I24" s="4">
        <f>HLOOKUP($C24,'Параметры ПФ'!$F$8:$K$13,6,FALSE)*'Параметры ПФ'!$G$25</f>
        <v>105.97</v>
      </c>
      <c r="J24" s="4">
        <f t="shared" si="1"/>
        <v>0</v>
      </c>
      <c r="K24" s="5">
        <f>IF(J24&lt;'Параметры ПФ'!$K$3+0.01,'Очно-заочные программы'!J24,ROUNDDOWN('Параметры ПФ'!$K$3/IF(H24=0,I24,IF(I24&gt;H24,H24,I24)),0)*IF(H24=0,I24,IF(I24&gt;H24,H24,I24)))</f>
        <v>0</v>
      </c>
      <c r="L24" s="4">
        <f t="shared" si="2"/>
        <v>0</v>
      </c>
      <c r="M24" s="33">
        <f>IF(J24&lt;'Параметры ПФ'!$K$3+0.01,E24*F24*G24,ROUNDDOWN('Параметры ПФ'!$K$3/IF(H24=0,I24,IF(I24&gt;H24,H24,I24)),0)*G24)</f>
        <v>0</v>
      </c>
      <c r="N24" s="25">
        <f t="shared" si="3"/>
        <v>0</v>
      </c>
    </row>
    <row r="25" spans="1:14" x14ac:dyDescent="0.25">
      <c r="A25" s="3" t="s">
        <v>2</v>
      </c>
      <c r="B25" s="3"/>
      <c r="C25" s="3" t="s">
        <v>5</v>
      </c>
      <c r="D25" s="18"/>
      <c r="E25" s="18"/>
      <c r="F25" s="19"/>
      <c r="G25" s="19"/>
      <c r="H25" s="20"/>
      <c r="I25" s="4">
        <f>HLOOKUP($C25,'Параметры ПФ'!$F$8:$K$13,6,FALSE)*'Параметры ПФ'!$G$25</f>
        <v>105.97</v>
      </c>
      <c r="J25" s="4">
        <f t="shared" si="1"/>
        <v>0</v>
      </c>
      <c r="K25" s="5">
        <f>IF(J25&lt;'Параметры ПФ'!$K$3+0.01,'Очно-заочные программы'!J25,ROUNDDOWN('Параметры ПФ'!$K$3/IF(H25=0,I25,IF(I25&gt;H25,H25,I25)),0)*IF(H25=0,I25,IF(I25&gt;H25,H25,I25)))</f>
        <v>0</v>
      </c>
      <c r="L25" s="4">
        <f t="shared" si="2"/>
        <v>0</v>
      </c>
      <c r="M25" s="33">
        <f>IF(J25&lt;'Параметры ПФ'!$K$3+0.01,E25*F25*G25,ROUNDDOWN('Параметры ПФ'!$K$3/IF(H25=0,I25,IF(I25&gt;H25,H25,I25)),0)*G25)</f>
        <v>0</v>
      </c>
      <c r="N25" s="25">
        <f t="shared" si="3"/>
        <v>0</v>
      </c>
    </row>
    <row r="26" spans="1:14" x14ac:dyDescent="0.25">
      <c r="A26" s="3" t="s">
        <v>2</v>
      </c>
      <c r="B26" s="3"/>
      <c r="C26" s="3" t="s">
        <v>5</v>
      </c>
      <c r="D26" s="18"/>
      <c r="E26" s="18"/>
      <c r="F26" s="19"/>
      <c r="G26" s="19"/>
      <c r="H26" s="20"/>
      <c r="I26" s="4">
        <f>HLOOKUP($C26,'Параметры ПФ'!$F$8:$K$13,6,FALSE)*'Параметры ПФ'!$G$25</f>
        <v>105.97</v>
      </c>
      <c r="J26" s="4">
        <f t="shared" si="1"/>
        <v>0</v>
      </c>
      <c r="K26" s="5">
        <f>IF(J26&lt;'Параметры ПФ'!$K$3+0.01,'Очно-заочные программы'!J26,ROUNDDOWN('Параметры ПФ'!$K$3/IF(H26=0,I26,IF(I26&gt;H26,H26,I26)),0)*IF(H26=0,I26,IF(I26&gt;H26,H26,I26)))</f>
        <v>0</v>
      </c>
      <c r="L26" s="4">
        <f t="shared" si="2"/>
        <v>0</v>
      </c>
      <c r="M26" s="33">
        <f>IF(J26&lt;'Параметры ПФ'!$K$3+0.01,E26*F26*G26,ROUNDDOWN('Параметры ПФ'!$K$3/IF(H26=0,I26,IF(I26&gt;H26,H26,I26)),0)*G26)</f>
        <v>0</v>
      </c>
      <c r="N26" s="25">
        <f t="shared" si="3"/>
        <v>0</v>
      </c>
    </row>
    <row r="27" spans="1:14" x14ac:dyDescent="0.25">
      <c r="A27" s="3" t="s">
        <v>2</v>
      </c>
      <c r="B27" s="3"/>
      <c r="C27" s="3" t="s">
        <v>5</v>
      </c>
      <c r="D27" s="18"/>
      <c r="E27" s="18"/>
      <c r="F27" s="19"/>
      <c r="G27" s="19"/>
      <c r="H27" s="20"/>
      <c r="I27" s="4">
        <f>HLOOKUP($C27,'Параметры ПФ'!$F$8:$K$13,6,FALSE)*'Параметры ПФ'!$G$25</f>
        <v>105.97</v>
      </c>
      <c r="J27" s="4">
        <f t="shared" si="1"/>
        <v>0</v>
      </c>
      <c r="K27" s="5">
        <f>IF(J27&lt;'Параметры ПФ'!$K$3+0.01,'Очно-заочные программы'!J27,ROUNDDOWN('Параметры ПФ'!$K$3/IF(H27=0,I27,IF(I27&gt;H27,H27,I27)),0)*IF(H27=0,I27,IF(I27&gt;H27,H27,I27)))</f>
        <v>0</v>
      </c>
      <c r="L27" s="4">
        <f t="shared" si="2"/>
        <v>0</v>
      </c>
      <c r="M27" s="33">
        <f>IF(J27&lt;'Параметры ПФ'!$K$3+0.01,E27*F27*G27,ROUNDDOWN('Параметры ПФ'!$K$3/IF(H27=0,I27,IF(I27&gt;H27,H27,I27)),0)*G27)</f>
        <v>0</v>
      </c>
      <c r="N27" s="25">
        <f t="shared" si="3"/>
        <v>0</v>
      </c>
    </row>
    <row r="28" spans="1:14" x14ac:dyDescent="0.25">
      <c r="A28" s="3" t="s">
        <v>2</v>
      </c>
      <c r="B28" s="3"/>
      <c r="C28" s="3" t="s">
        <v>5</v>
      </c>
      <c r="D28" s="18"/>
      <c r="E28" s="18"/>
      <c r="F28" s="19"/>
      <c r="G28" s="19"/>
      <c r="H28" s="20"/>
      <c r="I28" s="4">
        <f>HLOOKUP($C28,'Параметры ПФ'!$F$8:$K$13,6,FALSE)*'Параметры ПФ'!$G$25</f>
        <v>105.97</v>
      </c>
      <c r="J28" s="4">
        <f t="shared" si="1"/>
        <v>0</v>
      </c>
      <c r="K28" s="5">
        <f>IF(J28&lt;'Параметры ПФ'!$K$3+0.01,'Очно-заочные программы'!J28,ROUNDDOWN('Параметры ПФ'!$K$3/IF(H28=0,I28,IF(I28&gt;H28,H28,I28)),0)*IF(H28=0,I28,IF(I28&gt;H28,H28,I28)))</f>
        <v>0</v>
      </c>
      <c r="L28" s="4">
        <f t="shared" si="2"/>
        <v>0</v>
      </c>
      <c r="M28" s="33">
        <f>IF(J28&lt;'Параметры ПФ'!$K$3+0.01,E28*F28*G28,ROUNDDOWN('Параметры ПФ'!$K$3/IF(H28=0,I28,IF(I28&gt;H28,H28,I28)),0)*G28)</f>
        <v>0</v>
      </c>
      <c r="N28" s="25">
        <f t="shared" si="3"/>
        <v>0</v>
      </c>
    </row>
    <row r="29" spans="1:14" x14ac:dyDescent="0.25">
      <c r="A29" s="3" t="s">
        <v>2</v>
      </c>
      <c r="B29" s="3"/>
      <c r="C29" s="3" t="s">
        <v>5</v>
      </c>
      <c r="D29" s="18"/>
      <c r="E29" s="18"/>
      <c r="F29" s="19"/>
      <c r="G29" s="19"/>
      <c r="H29" s="20"/>
      <c r="I29" s="4">
        <f>HLOOKUP($C29,'Параметры ПФ'!$F$8:$K$13,6,FALSE)*'Параметры ПФ'!$G$25</f>
        <v>105.97</v>
      </c>
      <c r="J29" s="4">
        <f t="shared" si="1"/>
        <v>0</v>
      </c>
      <c r="K29" s="5">
        <f>IF(J29&lt;'Параметры ПФ'!$K$3+0.01,'Очно-заочные программы'!J29,ROUNDDOWN('Параметры ПФ'!$K$3/IF(H29=0,I29,IF(I29&gt;H29,H29,I29)),0)*IF(H29=0,I29,IF(I29&gt;H29,H29,I29)))</f>
        <v>0</v>
      </c>
      <c r="L29" s="4">
        <f t="shared" si="2"/>
        <v>0</v>
      </c>
      <c r="M29" s="33">
        <f>IF(J29&lt;'Параметры ПФ'!$K$3+0.01,E29*F29*G29,ROUNDDOWN('Параметры ПФ'!$K$3/IF(H29=0,I29,IF(I29&gt;H29,H29,I29)),0)*G29)</f>
        <v>0</v>
      </c>
      <c r="N29" s="25">
        <f t="shared" si="3"/>
        <v>0</v>
      </c>
    </row>
    <row r="30" spans="1:14" x14ac:dyDescent="0.25">
      <c r="A30" s="3" t="s">
        <v>2</v>
      </c>
      <c r="B30" s="3"/>
      <c r="C30" s="3" t="s">
        <v>5</v>
      </c>
      <c r="D30" s="18"/>
      <c r="E30" s="18"/>
      <c r="F30" s="19"/>
      <c r="G30" s="19"/>
      <c r="H30" s="20"/>
      <c r="I30" s="4">
        <f>HLOOKUP($C30,'Параметры ПФ'!$F$8:$K$13,6,FALSE)*'Параметры ПФ'!$G$25</f>
        <v>105.97</v>
      </c>
      <c r="J30" s="4">
        <f t="shared" si="1"/>
        <v>0</v>
      </c>
      <c r="K30" s="5">
        <f>IF(J30&lt;'Параметры ПФ'!$K$3+0.01,'Очно-заочные программы'!J30,ROUNDDOWN('Параметры ПФ'!$K$3/IF(H30=0,I30,IF(I30&gt;H30,H30,I30)),0)*IF(H30=0,I30,IF(I30&gt;H30,H30,I30)))</f>
        <v>0</v>
      </c>
      <c r="L30" s="4">
        <f t="shared" si="2"/>
        <v>0</v>
      </c>
      <c r="M30" s="33">
        <f>IF(J30&lt;'Параметры ПФ'!$K$3+0.01,E30*F30*G30,ROUNDDOWN('Параметры ПФ'!$K$3/IF(H30=0,I30,IF(I30&gt;H30,H30,I30)),0)*G30)</f>
        <v>0</v>
      </c>
      <c r="N30" s="25">
        <f t="shared" si="3"/>
        <v>0</v>
      </c>
    </row>
    <row r="31" spans="1:14" x14ac:dyDescent="0.25">
      <c r="A31" s="3" t="s">
        <v>2</v>
      </c>
      <c r="B31" s="3"/>
      <c r="C31" s="3" t="s">
        <v>5</v>
      </c>
      <c r="D31" s="18"/>
      <c r="E31" s="18"/>
      <c r="F31" s="19"/>
      <c r="G31" s="19"/>
      <c r="H31" s="20"/>
      <c r="I31" s="4">
        <f>HLOOKUP($C31,'Параметры ПФ'!$F$8:$K$13,6,FALSE)*'Параметры ПФ'!$G$25</f>
        <v>105.97</v>
      </c>
      <c r="J31" s="4">
        <f t="shared" si="1"/>
        <v>0</v>
      </c>
      <c r="K31" s="5">
        <f>IF(J31&lt;'Параметры ПФ'!$K$3+0.01,'Очно-заочные программы'!J31,ROUNDDOWN('Параметры ПФ'!$K$3/IF(H31=0,I31,IF(I31&gt;H31,H31,I31)),0)*IF(H31=0,I31,IF(I31&gt;H31,H31,I31)))</f>
        <v>0</v>
      </c>
      <c r="L31" s="4">
        <f t="shared" si="2"/>
        <v>0</v>
      </c>
      <c r="M31" s="33">
        <f>IF(J31&lt;'Параметры ПФ'!$K$3+0.01,E31*F31*G31,ROUNDDOWN('Параметры ПФ'!$K$3/IF(H31=0,I31,IF(I31&gt;H31,H31,I31)),0)*G31)</f>
        <v>0</v>
      </c>
      <c r="N31" s="25">
        <f t="shared" si="3"/>
        <v>0</v>
      </c>
    </row>
    <row r="32" spans="1:14" x14ac:dyDescent="0.25">
      <c r="A32" s="3" t="s">
        <v>2</v>
      </c>
      <c r="B32" s="3"/>
      <c r="C32" s="3" t="s">
        <v>5</v>
      </c>
      <c r="D32" s="18"/>
      <c r="E32" s="18"/>
      <c r="F32" s="19"/>
      <c r="G32" s="19"/>
      <c r="H32" s="20"/>
      <c r="I32" s="4">
        <f>HLOOKUP($C32,'Параметры ПФ'!$F$8:$K$13,6,FALSE)*'Параметры ПФ'!$G$25</f>
        <v>105.97</v>
      </c>
      <c r="J32" s="4">
        <f t="shared" si="1"/>
        <v>0</v>
      </c>
      <c r="K32" s="5">
        <f>IF(J32&lt;'Параметры ПФ'!$K$3+0.01,'Очно-заочные программы'!J32,ROUNDDOWN('Параметры ПФ'!$K$3/IF(H32=0,I32,IF(I32&gt;H32,H32,I32)),0)*IF(H32=0,I32,IF(I32&gt;H32,H32,I32)))</f>
        <v>0</v>
      </c>
      <c r="L32" s="4">
        <f t="shared" si="2"/>
        <v>0</v>
      </c>
      <c r="M32" s="33">
        <f>IF(J32&lt;'Параметры ПФ'!$K$3+0.01,E32*F32*G32,ROUNDDOWN('Параметры ПФ'!$K$3/IF(H32=0,I32,IF(I32&gt;H32,H32,I32)),0)*G32)</f>
        <v>0</v>
      </c>
      <c r="N32" s="25">
        <f t="shared" si="3"/>
        <v>0</v>
      </c>
    </row>
    <row r="33" spans="1:14" x14ac:dyDescent="0.25">
      <c r="A33" s="3" t="s">
        <v>2</v>
      </c>
      <c r="B33" s="3"/>
      <c r="C33" s="3" t="s">
        <v>5</v>
      </c>
      <c r="D33" s="18"/>
      <c r="E33" s="18"/>
      <c r="F33" s="19"/>
      <c r="G33" s="19"/>
      <c r="H33" s="20"/>
      <c r="I33" s="4">
        <f>HLOOKUP($C33,'Параметры ПФ'!$F$8:$K$13,6,FALSE)*'Параметры ПФ'!$G$25</f>
        <v>105.97</v>
      </c>
      <c r="J33" s="4">
        <f t="shared" si="1"/>
        <v>0</v>
      </c>
      <c r="K33" s="5">
        <f>IF(J33&lt;'Параметры ПФ'!$K$3+0.01,'Очно-заочные программы'!J33,ROUNDDOWN('Параметры ПФ'!$K$3/IF(H33=0,I33,IF(I33&gt;H33,H33,I33)),0)*IF(H33=0,I33,IF(I33&gt;H33,H33,I33)))</f>
        <v>0</v>
      </c>
      <c r="L33" s="4">
        <f t="shared" si="2"/>
        <v>0</v>
      </c>
      <c r="M33" s="33">
        <f>IF(J33&lt;'Параметры ПФ'!$K$3+0.01,E33*F33*G33,ROUNDDOWN('Параметры ПФ'!$K$3/IF(H33=0,I33,IF(I33&gt;H33,H33,I33)),0)*G33)</f>
        <v>0</v>
      </c>
      <c r="N33" s="25">
        <f t="shared" si="3"/>
        <v>0</v>
      </c>
    </row>
    <row r="34" spans="1:14" x14ac:dyDescent="0.25">
      <c r="A34" s="3" t="s">
        <v>2</v>
      </c>
      <c r="B34" s="3"/>
      <c r="C34" s="3" t="s">
        <v>5</v>
      </c>
      <c r="D34" s="18"/>
      <c r="E34" s="18"/>
      <c r="F34" s="19"/>
      <c r="G34" s="19"/>
      <c r="H34" s="20"/>
      <c r="I34" s="4">
        <f>HLOOKUP($C34,'Параметры ПФ'!$F$8:$K$13,6,FALSE)*'Параметры ПФ'!$G$25</f>
        <v>105.97</v>
      </c>
      <c r="J34" s="4">
        <f t="shared" si="1"/>
        <v>0</v>
      </c>
      <c r="K34" s="5">
        <f>IF(J34&lt;'Параметры ПФ'!$K$3+0.01,'Очно-заочные программы'!J34,ROUNDDOWN('Параметры ПФ'!$K$3/IF(H34=0,I34,IF(I34&gt;H34,H34,I34)),0)*IF(H34=0,I34,IF(I34&gt;H34,H34,I34)))</f>
        <v>0</v>
      </c>
      <c r="L34" s="4">
        <f t="shared" si="2"/>
        <v>0</v>
      </c>
      <c r="M34" s="33">
        <f>IF(J34&lt;'Параметры ПФ'!$K$3+0.01,E34*F34*G34,ROUNDDOWN('Параметры ПФ'!$K$3/IF(H34=0,I34,IF(I34&gt;H34,H34,I34)),0)*G34)</f>
        <v>0</v>
      </c>
      <c r="N34" s="25">
        <f t="shared" si="3"/>
        <v>0</v>
      </c>
    </row>
    <row r="35" spans="1:14" x14ac:dyDescent="0.25">
      <c r="A35" s="3" t="s">
        <v>2</v>
      </c>
      <c r="B35" s="3"/>
      <c r="C35" s="3" t="s">
        <v>5</v>
      </c>
      <c r="D35" s="18"/>
      <c r="E35" s="18"/>
      <c r="F35" s="19"/>
      <c r="G35" s="19"/>
      <c r="H35" s="20"/>
      <c r="I35" s="4">
        <f>HLOOKUP($C35,'Параметры ПФ'!$F$8:$K$13,6,FALSE)*'Параметры ПФ'!$G$25</f>
        <v>105.97</v>
      </c>
      <c r="J35" s="4">
        <f t="shared" si="1"/>
        <v>0</v>
      </c>
      <c r="K35" s="5">
        <f>IF(J35&lt;'Параметры ПФ'!$K$3+0.01,'Очно-заочные программы'!J35,ROUNDDOWN('Параметры ПФ'!$K$3/IF(H35=0,I35,IF(I35&gt;H35,H35,I35)),0)*IF(H35=0,I35,IF(I35&gt;H35,H35,I35)))</f>
        <v>0</v>
      </c>
      <c r="L35" s="4">
        <f t="shared" si="2"/>
        <v>0</v>
      </c>
      <c r="M35" s="33">
        <f>IF(J35&lt;'Параметры ПФ'!$K$3+0.01,E35*F35*G35,ROUNDDOWN('Параметры ПФ'!$K$3/IF(H35=0,I35,IF(I35&gt;H35,H35,I35)),0)*G35)</f>
        <v>0</v>
      </c>
      <c r="N35" s="25">
        <f t="shared" si="3"/>
        <v>0</v>
      </c>
    </row>
    <row r="36" spans="1:14" x14ac:dyDescent="0.25">
      <c r="A36" s="3" t="s">
        <v>2</v>
      </c>
      <c r="B36" s="3"/>
      <c r="C36" s="3" t="s">
        <v>5</v>
      </c>
      <c r="D36" s="18"/>
      <c r="E36" s="18"/>
      <c r="F36" s="19"/>
      <c r="G36" s="19"/>
      <c r="H36" s="20"/>
      <c r="I36" s="4">
        <f>HLOOKUP($C36,'Параметры ПФ'!$F$8:$K$13,6,FALSE)*'Параметры ПФ'!$G$25</f>
        <v>105.97</v>
      </c>
      <c r="J36" s="4">
        <f t="shared" si="1"/>
        <v>0</v>
      </c>
      <c r="K36" s="5">
        <f>IF(J36&lt;'Параметры ПФ'!$K$3+0.01,'Очно-заочные программы'!J36,ROUNDDOWN('Параметры ПФ'!$K$3/IF(H36=0,I36,IF(I36&gt;H36,H36,I36)),0)*IF(H36=0,I36,IF(I36&gt;H36,H36,I36)))</f>
        <v>0</v>
      </c>
      <c r="L36" s="4">
        <f t="shared" si="2"/>
        <v>0</v>
      </c>
      <c r="M36" s="33">
        <f>IF(J36&lt;'Параметры ПФ'!$K$3+0.01,E36*F36*G36,ROUNDDOWN('Параметры ПФ'!$K$3/IF(H36=0,I36,IF(I36&gt;H36,H36,I36)),0)*G36)</f>
        <v>0</v>
      </c>
      <c r="N36" s="25">
        <f t="shared" si="3"/>
        <v>0</v>
      </c>
    </row>
    <row r="37" spans="1:14" x14ac:dyDescent="0.25">
      <c r="A37" s="3" t="s">
        <v>2</v>
      </c>
      <c r="B37" s="3"/>
      <c r="C37" s="3" t="s">
        <v>5</v>
      </c>
      <c r="D37" s="18"/>
      <c r="E37" s="18"/>
      <c r="F37" s="19"/>
      <c r="G37" s="19"/>
      <c r="H37" s="20"/>
      <c r="I37" s="4">
        <f>HLOOKUP($C37,'Параметры ПФ'!$F$8:$K$13,6,FALSE)*'Параметры ПФ'!$G$25</f>
        <v>105.97</v>
      </c>
      <c r="J37" s="4">
        <f t="shared" si="1"/>
        <v>0</v>
      </c>
      <c r="K37" s="5">
        <f>IF(J37&lt;'Параметры ПФ'!$K$3+0.01,'Очно-заочные программы'!J37,ROUNDDOWN('Параметры ПФ'!$K$3/IF(H37=0,I37,IF(I37&gt;H37,H37,I37)),0)*IF(H37=0,I37,IF(I37&gt;H37,H37,I37)))</f>
        <v>0</v>
      </c>
      <c r="L37" s="4">
        <f t="shared" si="2"/>
        <v>0</v>
      </c>
      <c r="M37" s="33">
        <f>IF(J37&lt;'Параметры ПФ'!$K$3+0.01,E37*F37*G37,ROUNDDOWN('Параметры ПФ'!$K$3/IF(H37=0,I37,IF(I37&gt;H37,H37,I37)),0)*G37)</f>
        <v>0</v>
      </c>
      <c r="N37" s="25">
        <f t="shared" si="3"/>
        <v>0</v>
      </c>
    </row>
    <row r="38" spans="1:14" x14ac:dyDescent="0.25">
      <c r="A38" s="3" t="s">
        <v>2</v>
      </c>
      <c r="B38" s="3"/>
      <c r="C38" s="3" t="s">
        <v>5</v>
      </c>
      <c r="D38" s="18"/>
      <c r="E38" s="18"/>
      <c r="F38" s="19"/>
      <c r="G38" s="19"/>
      <c r="H38" s="20"/>
      <c r="I38" s="4">
        <f>HLOOKUP($C38,'Параметры ПФ'!$F$8:$K$13,6,FALSE)*'Параметры ПФ'!$G$25</f>
        <v>105.97</v>
      </c>
      <c r="J38" s="4">
        <f t="shared" si="1"/>
        <v>0</v>
      </c>
      <c r="K38" s="5">
        <f>IF(J38&lt;'Параметры ПФ'!$K$3+0.01,'Очно-заочные программы'!J38,ROUNDDOWN('Параметры ПФ'!$K$3/IF(H38=0,I38,IF(I38&gt;H38,H38,I38)),0)*IF(H38=0,I38,IF(I38&gt;H38,H38,I38)))</f>
        <v>0</v>
      </c>
      <c r="L38" s="4">
        <f t="shared" si="2"/>
        <v>0</v>
      </c>
      <c r="M38" s="33">
        <f>IF(J38&lt;'Параметры ПФ'!$K$3+0.01,E38*F38*G38,ROUNDDOWN('Параметры ПФ'!$K$3/IF(H38=0,I38,IF(I38&gt;H38,H38,I38)),0)*G38)</f>
        <v>0</v>
      </c>
      <c r="N38" s="25">
        <f t="shared" si="3"/>
        <v>0</v>
      </c>
    </row>
    <row r="39" spans="1:14" x14ac:dyDescent="0.25">
      <c r="A39" s="147"/>
      <c r="B39" s="147"/>
      <c r="C39" s="147"/>
      <c r="D39" s="147"/>
      <c r="E39" s="147"/>
      <c r="F39" s="147"/>
      <c r="G39" s="6">
        <f>SUM(G2:G38)</f>
        <v>0</v>
      </c>
      <c r="H39" s="7" t="s">
        <v>30</v>
      </c>
      <c r="I39" s="8" t="s">
        <v>30</v>
      </c>
      <c r="J39" s="7" t="s">
        <v>30</v>
      </c>
      <c r="K39" s="8" t="s">
        <v>30</v>
      </c>
      <c r="L39" s="31">
        <f>SUM(L2:L38)</f>
        <v>0</v>
      </c>
      <c r="M39" s="34">
        <f>SUM(M2:M38)</f>
        <v>0</v>
      </c>
      <c r="N39" s="26" t="s">
        <v>30</v>
      </c>
    </row>
  </sheetData>
  <mergeCells count="1">
    <mergeCell ref="A39:F39"/>
  </mergeCells>
  <conditionalFormatting sqref="N2:N38">
    <cfRule type="cellIs" dxfId="1" priority="1" operator="greaterThan">
      <formula>#REF!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1D66EA-5A08-4C22-9873-7AF16E39AC6E}">
          <x14:formula1>
            <xm:f>'Параметры ПФ'!$F$8:$K$8</xm:f>
          </x14:formula1>
          <xm:sqref>C2:C38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zoomScale="80" zoomScaleNormal="80" workbookViewId="0">
      <selection activeCell="L17" sqref="L17"/>
    </sheetView>
  </sheetViews>
  <sheetFormatPr defaultRowHeight="15.75" x14ac:dyDescent="0.25"/>
  <cols>
    <col min="1" max="2" width="19" customWidth="1"/>
    <col min="3" max="3" width="24.75" customWidth="1"/>
    <col min="8" max="8" width="12.875" customWidth="1"/>
    <col min="10" max="12" width="12.625" customWidth="1"/>
    <col min="14" max="14" width="13.75" customWidth="1"/>
  </cols>
  <sheetData>
    <row r="1" spans="1:14" ht="110.25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43</v>
      </c>
      <c r="F1" s="14" t="s">
        <v>31</v>
      </c>
      <c r="G1" s="14" t="s">
        <v>28</v>
      </c>
      <c r="H1" s="15" t="s">
        <v>80</v>
      </c>
      <c r="I1" s="16" t="s">
        <v>29</v>
      </c>
      <c r="J1" s="16" t="s">
        <v>44</v>
      </c>
      <c r="K1" s="28" t="s">
        <v>45</v>
      </c>
      <c r="L1" s="16" t="s">
        <v>34</v>
      </c>
      <c r="M1" s="16" t="s">
        <v>51</v>
      </c>
      <c r="N1" s="24" t="s">
        <v>46</v>
      </c>
    </row>
    <row r="2" spans="1:14" x14ac:dyDescent="0.25">
      <c r="A2" s="3" t="s">
        <v>94</v>
      </c>
      <c r="B2" s="3" t="s">
        <v>96</v>
      </c>
      <c r="C2" s="3" t="s">
        <v>4</v>
      </c>
      <c r="D2" s="18">
        <v>36</v>
      </c>
      <c r="E2" s="18">
        <v>16</v>
      </c>
      <c r="F2" s="19">
        <v>5</v>
      </c>
      <c r="G2" s="19">
        <v>50</v>
      </c>
      <c r="H2" s="20">
        <v>82</v>
      </c>
      <c r="I2" s="4">
        <f>HLOOKUP($C2,'Параметры ПФ'!$F$8:$K$13,6,FALSE)*'Параметры ПФ'!$G$22</f>
        <v>88.9</v>
      </c>
      <c r="J2" s="4">
        <f>IF(H2=0,I2*F2*E2,IF(I2&gt;H2,H2*F2*E2,I2*F2*E2))</f>
        <v>6560</v>
      </c>
      <c r="K2" s="5">
        <f>IF(J2&lt;'Параметры ПФ'!$O$3+0.01,'Адаптированные программы'!J2,ROUNDDOWN('Параметры ПФ'!$O$3/IF(H2=0,I2,IF(I2&gt;H2,H2,I2)),0)*IF(H2=0,I2,IF(I2&gt;H2,H2,I2)))</f>
        <v>6560</v>
      </c>
      <c r="L2" s="4">
        <f t="shared" ref="L2" si="0">K2*G2</f>
        <v>328000</v>
      </c>
      <c r="M2" s="33">
        <f>IF(J2&lt;'Параметры ПФ'!$O$3+0.01,E2*F2*G2,ROUNDDOWN('Параметры ПФ'!$O$3/IF(H2=0,I2,IF(I2&gt;H2,H2,I2)),0)*G2)</f>
        <v>4000</v>
      </c>
      <c r="N2" s="25">
        <f>IF(H2=0,I2*F2*E2,IF(I2&gt;H2,H2*F2*E2,I2*F2*E2))-K2</f>
        <v>0</v>
      </c>
    </row>
    <row r="3" spans="1:14" x14ac:dyDescent="0.25">
      <c r="A3" s="3" t="s">
        <v>1</v>
      </c>
      <c r="B3" s="3"/>
      <c r="C3" s="3" t="s">
        <v>5</v>
      </c>
      <c r="D3" s="18"/>
      <c r="E3" s="18"/>
      <c r="F3" s="19"/>
      <c r="G3" s="19"/>
      <c r="H3" s="20"/>
      <c r="I3" s="4">
        <f>HLOOKUP($C3,'Параметры ПФ'!$F$8:$K$13,6,FALSE)*'Параметры ПФ'!$G$22</f>
        <v>105.97</v>
      </c>
      <c r="J3" s="4">
        <f t="shared" ref="J3:J10" si="1">IF(H3=0,I3*F3*E3,IF(I3&gt;H3,H3*F3*E3,I3*F3*E3))</f>
        <v>0</v>
      </c>
      <c r="K3" s="5">
        <f>IF(J3&lt;'Параметры ПФ'!$O$3+0.01,'Адаптированные программы'!J3,ROUNDDOWN('Параметры ПФ'!$O$3/IF(H3=0,I3,IF(I3&gt;H3,H3,I3)),0)*IF(H3=0,I3,IF(I3&gt;H3,H3,I3)))</f>
        <v>0</v>
      </c>
      <c r="L3" s="4">
        <f t="shared" ref="L3:L10" si="2">K3*G3</f>
        <v>0</v>
      </c>
      <c r="M3" s="33">
        <f>IF(J3&lt;'Параметры ПФ'!$O$3+0.01,E3*F3*G3,ROUNDDOWN('Параметры ПФ'!$O$3/IF(H3=0,I3,IF(I3&gt;H3,H3,I3)),0)*G3)</f>
        <v>0</v>
      </c>
      <c r="N3" s="25">
        <f t="shared" ref="N3:N4" si="3">IF(H3=0,I3*F3*E3,IF(I3&gt;H3,H3*F3*E3,I3*F3*E3))-K3</f>
        <v>0</v>
      </c>
    </row>
    <row r="4" spans="1:14" x14ac:dyDescent="0.25">
      <c r="A4" s="3" t="s">
        <v>2</v>
      </c>
      <c r="B4" s="3"/>
      <c r="C4" s="3" t="s">
        <v>5</v>
      </c>
      <c r="D4" s="18"/>
      <c r="E4" s="18"/>
      <c r="F4" s="19"/>
      <c r="G4" s="19"/>
      <c r="H4" s="20"/>
      <c r="I4" s="4">
        <f>HLOOKUP($C4,'Параметры ПФ'!$F$8:$K$13,6,FALSE)*'Параметры ПФ'!$G$22</f>
        <v>105.97</v>
      </c>
      <c r="J4" s="4">
        <f t="shared" si="1"/>
        <v>0</v>
      </c>
      <c r="K4" s="5">
        <f>IF(J4&lt;'Параметры ПФ'!$O$3+0.01,'Адаптированные программы'!J4,ROUNDDOWN('Параметры ПФ'!$O$3/IF(H4=0,I4,IF(I4&gt;H4,H4,I4)),0)*IF(H4=0,I4,IF(I4&gt;H4,H4,I4)))</f>
        <v>0</v>
      </c>
      <c r="L4" s="4">
        <f t="shared" si="2"/>
        <v>0</v>
      </c>
      <c r="M4" s="33">
        <f>IF(J4&lt;'Параметры ПФ'!$O$3+0.01,E4*F4*G4,ROUNDDOWN('Параметры ПФ'!$O$3/IF(H4=0,I4,IF(I4&gt;H4,H4,I4)),0)*G4)</f>
        <v>0</v>
      </c>
      <c r="N4" s="25">
        <f t="shared" si="3"/>
        <v>0</v>
      </c>
    </row>
    <row r="5" spans="1:14" x14ac:dyDescent="0.25">
      <c r="A5" s="3" t="s">
        <v>1</v>
      </c>
      <c r="B5" s="3"/>
      <c r="C5" s="3" t="s">
        <v>5</v>
      </c>
      <c r="D5" s="18"/>
      <c r="E5" s="18"/>
      <c r="F5" s="19"/>
      <c r="G5" s="19"/>
      <c r="H5" s="20"/>
      <c r="I5" s="4">
        <f>HLOOKUP($C5,'Параметры ПФ'!$F$8:$K$13,6,FALSE)*'Параметры ПФ'!$G$22</f>
        <v>105.97</v>
      </c>
      <c r="J5" s="4">
        <f t="shared" si="1"/>
        <v>0</v>
      </c>
      <c r="K5" s="5">
        <f>IF(J5&lt;'Параметры ПФ'!$O$3+0.01,'Адаптированные программы'!J5,ROUNDDOWN('Параметры ПФ'!$O$3/IF(H5=0,I5,IF(I5&gt;H5,H5,I5)),0)*IF(H5=0,I5,IF(I5&gt;H5,H5,I5)))</f>
        <v>0</v>
      </c>
      <c r="L5" s="4">
        <f t="shared" si="2"/>
        <v>0</v>
      </c>
      <c r="M5" s="33">
        <f>IF(J5&lt;'Параметры ПФ'!$O$3+0.01,E5*F5*G5,ROUNDDOWN('Параметры ПФ'!$O$3/IF(H5=0,I5,IF(I5&gt;H5,H5,I5)),0)*G5)</f>
        <v>0</v>
      </c>
      <c r="N5" s="25">
        <f t="shared" ref="N5:N10" si="4">IF(H5=0,I5*F5*E5,IF(I5&gt;H5,H5*F5*E5,I5*F5*E5))-K5</f>
        <v>0</v>
      </c>
    </row>
    <row r="6" spans="1:14" x14ac:dyDescent="0.25">
      <c r="A6" s="3" t="s">
        <v>2</v>
      </c>
      <c r="B6" s="3"/>
      <c r="C6" s="3" t="s">
        <v>5</v>
      </c>
      <c r="D6" s="18"/>
      <c r="E6" s="18"/>
      <c r="F6" s="19"/>
      <c r="G6" s="19"/>
      <c r="H6" s="20"/>
      <c r="I6" s="4">
        <f>HLOOKUP($C6,'Параметры ПФ'!$F$8:$K$13,6,FALSE)*'Параметры ПФ'!$G$22</f>
        <v>105.97</v>
      </c>
      <c r="J6" s="4">
        <f t="shared" si="1"/>
        <v>0</v>
      </c>
      <c r="K6" s="5">
        <f>IF(J6&lt;'Параметры ПФ'!$O$3+0.01,'Адаптированные программы'!J6,ROUNDDOWN('Параметры ПФ'!$O$3/IF(H6=0,I6,IF(I6&gt;H6,H6,I6)),0)*IF(H6=0,I6,IF(I6&gt;H6,H6,I6)))</f>
        <v>0</v>
      </c>
      <c r="L6" s="4">
        <f t="shared" si="2"/>
        <v>0</v>
      </c>
      <c r="M6" s="33">
        <f>IF(J6&lt;'Параметры ПФ'!$O$3+0.01,E6*F6*G6,ROUNDDOWN('Параметры ПФ'!$O$3/IF(H6=0,I6,IF(I6&gt;H6,H6,I6)),0)*G6)</f>
        <v>0</v>
      </c>
      <c r="N6" s="25">
        <f t="shared" si="4"/>
        <v>0</v>
      </c>
    </row>
    <row r="7" spans="1:14" x14ac:dyDescent="0.25">
      <c r="A7" s="3" t="s">
        <v>2</v>
      </c>
      <c r="B7" s="3"/>
      <c r="C7" s="3" t="s">
        <v>5</v>
      </c>
      <c r="D7" s="18"/>
      <c r="E7" s="18"/>
      <c r="F7" s="19"/>
      <c r="G7" s="19"/>
      <c r="H7" s="20"/>
      <c r="I7" s="4">
        <f>HLOOKUP($C7,'Параметры ПФ'!$F$8:$K$13,6,FALSE)*'Параметры ПФ'!$G$22</f>
        <v>105.97</v>
      </c>
      <c r="J7" s="4">
        <f t="shared" si="1"/>
        <v>0</v>
      </c>
      <c r="K7" s="5">
        <f>IF(J7&lt;'Параметры ПФ'!$O$3+0.01,'Адаптированные программы'!J7,ROUNDDOWN('Параметры ПФ'!$O$3/IF(H7=0,I7,IF(I7&gt;H7,H7,I7)),0)*IF(H7=0,I7,IF(I7&gt;H7,H7,I7)))</f>
        <v>0</v>
      </c>
      <c r="L7" s="4">
        <f t="shared" si="2"/>
        <v>0</v>
      </c>
      <c r="M7" s="33">
        <f>IF(J7&lt;'Параметры ПФ'!$O$3+0.01,E7*F7*G7,ROUNDDOWN('Параметры ПФ'!$O$3/IF(H7=0,I7,IF(I7&gt;H7,H7,I7)),0)*G7)</f>
        <v>0</v>
      </c>
      <c r="N7" s="25">
        <f t="shared" si="4"/>
        <v>0</v>
      </c>
    </row>
    <row r="8" spans="1:14" x14ac:dyDescent="0.25">
      <c r="A8" s="3" t="s">
        <v>36</v>
      </c>
      <c r="B8" s="3"/>
      <c r="C8" s="3" t="s">
        <v>5</v>
      </c>
      <c r="D8" s="18"/>
      <c r="E8" s="18"/>
      <c r="F8" s="19"/>
      <c r="G8" s="19"/>
      <c r="H8" s="20"/>
      <c r="I8" s="4">
        <f>HLOOKUP($C8,'Параметры ПФ'!$F$8:$K$13,6,FALSE)*'Параметры ПФ'!$G$22</f>
        <v>105.97</v>
      </c>
      <c r="J8" s="4">
        <f t="shared" si="1"/>
        <v>0</v>
      </c>
      <c r="K8" s="5">
        <f>IF(J8&lt;'Параметры ПФ'!$O$3+0.01,'Адаптированные программы'!J8,ROUNDDOWN('Параметры ПФ'!$O$3/IF(H8=0,I8,IF(I8&gt;H8,H8,I8)),0)*IF(H8=0,I8,IF(I8&gt;H8,H8,I8)))</f>
        <v>0</v>
      </c>
      <c r="L8" s="4">
        <f t="shared" si="2"/>
        <v>0</v>
      </c>
      <c r="M8" s="33">
        <f>IF(J8&lt;'Параметры ПФ'!$O$3+0.01,E8*F8*G8,ROUNDDOWN('Параметры ПФ'!$O$3/IF(H8=0,I8,IF(I8&gt;H8,H8,I8)),0)*G8)</f>
        <v>0</v>
      </c>
      <c r="N8" s="25">
        <f t="shared" si="4"/>
        <v>0</v>
      </c>
    </row>
    <row r="9" spans="1:14" x14ac:dyDescent="0.25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>HLOOKUP($C9,'Параметры ПФ'!$F$8:$K$13,6,FALSE)*'Параметры ПФ'!$G$22</f>
        <v>105.97</v>
      </c>
      <c r="J9" s="4">
        <f t="shared" si="1"/>
        <v>0</v>
      </c>
      <c r="K9" s="5">
        <f>IF(J9&lt;'Параметры ПФ'!$O$3+0.01,'Адаптированные программы'!J9,ROUNDDOWN('Параметры ПФ'!$O$3/IF(H9=0,I9,IF(I9&gt;H9,H9,I9)),0)*IF(H9=0,I9,IF(I9&gt;H9,H9,I9)))</f>
        <v>0</v>
      </c>
      <c r="L9" s="4">
        <f t="shared" si="2"/>
        <v>0</v>
      </c>
      <c r="M9" s="33">
        <f>IF(J9&lt;'Параметры ПФ'!$O$3+0.01,E9*F9*G9,ROUNDDOWN('Параметры ПФ'!$O$3/IF(H9=0,I9,IF(I9&gt;H9,H9,I9)),0)*G9)</f>
        <v>0</v>
      </c>
      <c r="N9" s="25">
        <f t="shared" si="4"/>
        <v>0</v>
      </c>
    </row>
    <row r="10" spans="1:14" x14ac:dyDescent="0.25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>HLOOKUP($C10,'Параметры ПФ'!$F$8:$K$13,6,FALSE)*'Параметры ПФ'!$G$22</f>
        <v>105.97</v>
      </c>
      <c r="J10" s="4">
        <f t="shared" si="1"/>
        <v>0</v>
      </c>
      <c r="K10" s="5">
        <f>IF(J10&lt;'Параметры ПФ'!$O$3+0.01,'Адаптированные программы'!J10,ROUNDDOWN('Параметры ПФ'!$O$3/IF(H10=0,I10,IF(I10&gt;H10,H10,I10)),0)*IF(H10=0,I10,IF(I10&gt;H10,H10,I10)))</f>
        <v>0</v>
      </c>
      <c r="L10" s="4">
        <f t="shared" si="2"/>
        <v>0</v>
      </c>
      <c r="M10" s="33">
        <f>IF(J10&lt;'Параметры ПФ'!$O$3+0.01,E10*F10*G10,ROUNDDOWN('Параметры ПФ'!$O$3/IF(H10=0,I10,IF(I10&gt;H10,H10,I10)),0)*G10)</f>
        <v>0</v>
      </c>
      <c r="N10" s="25">
        <f t="shared" si="4"/>
        <v>0</v>
      </c>
    </row>
    <row r="11" spans="1:14" x14ac:dyDescent="0.25">
      <c r="A11" s="147"/>
      <c r="B11" s="147"/>
      <c r="C11" s="147"/>
      <c r="D11" s="147"/>
      <c r="E11" s="147"/>
      <c r="F11" s="147"/>
      <c r="G11" s="6">
        <f>SUM(G2:G10)</f>
        <v>50</v>
      </c>
      <c r="H11" s="7" t="s">
        <v>30</v>
      </c>
      <c r="I11" s="8" t="s">
        <v>30</v>
      </c>
      <c r="J11" s="7" t="s">
        <v>30</v>
      </c>
      <c r="K11" s="8" t="s">
        <v>30</v>
      </c>
      <c r="L11" s="31">
        <f>SUM(L2:L10)</f>
        <v>328000</v>
      </c>
      <c r="M11" s="34">
        <f>SUM(M2:M10)</f>
        <v>4000</v>
      </c>
      <c r="N11" s="26" t="s">
        <v>30</v>
      </c>
    </row>
    <row r="16" spans="1:14" x14ac:dyDescent="0.25">
      <c r="L16" s="127"/>
    </row>
    <row r="17" spans="12:12" x14ac:dyDescent="0.25">
      <c r="L17" s="128">
        <f>L11+'Стандартные программы'!L23</f>
        <v>5799307.8399999999</v>
      </c>
    </row>
  </sheetData>
  <mergeCells count="1">
    <mergeCell ref="A11:F11"/>
  </mergeCells>
  <conditionalFormatting sqref="N2:N10">
    <cfRule type="cellIs" dxfId="0" priority="1" operator="greaterThan">
      <formula>#REF!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79EB9D-E590-4BD7-AFCF-D4C697474C26}">
          <x14:formula1>
            <xm:f>'Параметры ПФ'!$F$8:$K$8</xm:f>
          </x14:formula1>
          <xm:sqref>C2:C10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F172-E207-4F5F-9511-AAE451B12A7B}">
  <sheetPr>
    <pageSetUpPr fitToPage="1"/>
  </sheetPr>
  <dimension ref="A1:L25"/>
  <sheetViews>
    <sheetView zoomScale="80" zoomScaleNormal="80" workbookViewId="0">
      <selection activeCell="F31" sqref="F31"/>
    </sheetView>
  </sheetViews>
  <sheetFormatPr defaultColWidth="11" defaultRowHeight="15.75" x14ac:dyDescent="0.25"/>
  <cols>
    <col min="1" max="1" width="23.875" style="10" customWidth="1"/>
    <col min="2" max="2" width="34.5" style="10" customWidth="1"/>
    <col min="3" max="3" width="24.125" style="10" customWidth="1"/>
    <col min="4" max="4" width="11.5" style="10" customWidth="1"/>
    <col min="5" max="5" width="15" style="10" customWidth="1"/>
    <col min="6" max="6" width="12.125" style="11" customWidth="1"/>
    <col min="7" max="7" width="11.5" style="11" customWidth="1"/>
    <col min="8" max="8" width="12.5" style="12" customWidth="1"/>
    <col min="9" max="9" width="13.875" style="9" customWidth="1"/>
    <col min="10" max="10" width="16.125" style="9" customWidth="1"/>
    <col min="11" max="11" width="16.25" customWidth="1"/>
    <col min="12" max="12" width="1.875" style="23" hidden="1" customWidth="1"/>
  </cols>
  <sheetData>
    <row r="1" spans="1:12" s="2" customFormat="1" ht="83.25" customHeight="1" x14ac:dyDescent="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43</v>
      </c>
      <c r="F1" s="14" t="s">
        <v>31</v>
      </c>
      <c r="G1" s="14" t="s">
        <v>28</v>
      </c>
      <c r="H1" s="15" t="s">
        <v>77</v>
      </c>
      <c r="I1" s="16" t="s">
        <v>78</v>
      </c>
      <c r="J1" s="16" t="s">
        <v>41</v>
      </c>
      <c r="L1" s="22"/>
    </row>
    <row r="2" spans="1:12" x14ac:dyDescent="0.25">
      <c r="A2" s="3" t="s">
        <v>1</v>
      </c>
      <c r="B2" s="3"/>
      <c r="C2" s="3" t="s">
        <v>40</v>
      </c>
      <c r="D2" s="18"/>
      <c r="E2" s="18"/>
      <c r="F2" s="19"/>
      <c r="G2" s="19"/>
      <c r="H2" s="20"/>
      <c r="I2" s="4">
        <f>E2*F2*G2*H2</f>
        <v>0</v>
      </c>
      <c r="J2" s="30">
        <f>E2*F2*G2</f>
        <v>0</v>
      </c>
      <c r="L2" s="23" t="e">
        <f>IF(#REF!=0,0,IF(#REF!&gt;'[1]Расчет нормативных затрат'!J$2/2,0,IF(#REF!&lt;'[1]Расчет нормативных затрат'!J$2/3,2,1)))</f>
        <v>#REF!</v>
      </c>
    </row>
    <row r="3" spans="1:12" x14ac:dyDescent="0.25">
      <c r="A3" s="3" t="s">
        <v>1</v>
      </c>
      <c r="B3" s="3"/>
      <c r="C3" s="3" t="s">
        <v>3</v>
      </c>
      <c r="D3" s="18"/>
      <c r="E3" s="18"/>
      <c r="F3" s="19"/>
      <c r="G3" s="19"/>
      <c r="H3" s="20"/>
      <c r="I3" s="4">
        <f t="shared" ref="I3:I22" si="0">E3*F3*G3*H3</f>
        <v>0</v>
      </c>
      <c r="J3" s="30">
        <f t="shared" ref="J3:J22" si="1">E3*F3*G3</f>
        <v>0</v>
      </c>
      <c r="L3" s="23" t="e">
        <f>IF(#REF!=0,0,IF(#REF!&gt;'[1]Расчет нормативных затрат'!J$2/2,0,IF(#REF!&lt;'[1]Расчет нормативных затрат'!J$2/3,2,1)))</f>
        <v>#REF!</v>
      </c>
    </row>
    <row r="4" spans="1:12" x14ac:dyDescent="0.25">
      <c r="A4" s="3" t="s">
        <v>1</v>
      </c>
      <c r="B4" s="3"/>
      <c r="C4" s="3" t="s">
        <v>5</v>
      </c>
      <c r="D4" s="18"/>
      <c r="E4" s="18"/>
      <c r="F4" s="19"/>
      <c r="G4" s="19"/>
      <c r="H4" s="20"/>
      <c r="I4" s="4">
        <f t="shared" si="0"/>
        <v>0</v>
      </c>
      <c r="J4" s="30">
        <f t="shared" si="1"/>
        <v>0</v>
      </c>
      <c r="L4" s="23" t="e">
        <f>IF(#REF!=0,0,IF(#REF!&gt;'[1]Расчет нормативных затрат'!J$2/2,0,IF(#REF!&lt;'[1]Расчет нормативных затрат'!J$2/3,2,1)))</f>
        <v>#REF!</v>
      </c>
    </row>
    <row r="5" spans="1:12" x14ac:dyDescent="0.25">
      <c r="A5" s="3" t="s">
        <v>1</v>
      </c>
      <c r="B5" s="3"/>
      <c r="C5" s="3" t="s">
        <v>5</v>
      </c>
      <c r="D5" s="18"/>
      <c r="E5" s="18"/>
      <c r="F5" s="19"/>
      <c r="G5" s="19"/>
      <c r="H5" s="20"/>
      <c r="I5" s="4">
        <f t="shared" si="0"/>
        <v>0</v>
      </c>
      <c r="J5" s="30">
        <f t="shared" si="1"/>
        <v>0</v>
      </c>
      <c r="L5" s="23" t="e">
        <f>IF(#REF!=0,0,IF(#REF!&gt;'[1]Расчет нормативных затрат'!J$2/2,0,IF(#REF!&lt;'[1]Расчет нормативных затрат'!J$2/3,2,1)))</f>
        <v>#REF!</v>
      </c>
    </row>
    <row r="6" spans="1:12" x14ac:dyDescent="0.25">
      <c r="A6" s="3" t="s">
        <v>2</v>
      </c>
      <c r="B6" s="3"/>
      <c r="C6" s="3" t="s">
        <v>5</v>
      </c>
      <c r="D6" s="18"/>
      <c r="E6" s="18"/>
      <c r="F6" s="19"/>
      <c r="G6" s="19"/>
      <c r="H6" s="20"/>
      <c r="I6" s="4">
        <f t="shared" si="0"/>
        <v>0</v>
      </c>
      <c r="J6" s="30">
        <f t="shared" si="1"/>
        <v>0</v>
      </c>
      <c r="L6" s="23" t="e">
        <f>IF(#REF!=0,0,IF(#REF!&gt;'[1]Расчет нормативных затрат'!J$2/2,0,IF(#REF!&lt;'[1]Расчет нормативных затрат'!J$2/3,2,1)))</f>
        <v>#REF!</v>
      </c>
    </row>
    <row r="7" spans="1:12" x14ac:dyDescent="0.25">
      <c r="A7" s="3" t="s">
        <v>2</v>
      </c>
      <c r="B7" s="3"/>
      <c r="C7" s="3" t="s">
        <v>5</v>
      </c>
      <c r="D7" s="18"/>
      <c r="E7" s="18"/>
      <c r="F7" s="19"/>
      <c r="G7" s="19"/>
      <c r="H7" s="20"/>
      <c r="I7" s="4">
        <f t="shared" si="0"/>
        <v>0</v>
      </c>
      <c r="J7" s="30">
        <f t="shared" si="1"/>
        <v>0</v>
      </c>
      <c r="L7" s="23" t="e">
        <f>IF(#REF!=0,0,IF(#REF!&gt;'[1]Расчет нормативных затрат'!J$2/2,0,IF(#REF!&lt;'[1]Расчет нормативных затрат'!J$2/3,2,1)))</f>
        <v>#REF!</v>
      </c>
    </row>
    <row r="8" spans="1:12" x14ac:dyDescent="0.25">
      <c r="A8" s="3" t="s">
        <v>36</v>
      </c>
      <c r="B8" s="3"/>
      <c r="C8" s="3" t="s">
        <v>5</v>
      </c>
      <c r="D8" s="18"/>
      <c r="E8" s="18"/>
      <c r="F8" s="19"/>
      <c r="G8" s="19"/>
      <c r="H8" s="20"/>
      <c r="I8" s="4">
        <f t="shared" si="0"/>
        <v>0</v>
      </c>
      <c r="J8" s="30">
        <f t="shared" si="1"/>
        <v>0</v>
      </c>
      <c r="L8" s="23" t="e">
        <f>IF(#REF!=0,0,IF(#REF!&gt;'[1]Расчет нормативных затрат'!J$2/2,0,IF(#REF!&lt;'[1]Расчет нормативных затрат'!J$2/3,2,1)))</f>
        <v>#REF!</v>
      </c>
    </row>
    <row r="9" spans="1:12" x14ac:dyDescent="0.25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 t="shared" si="0"/>
        <v>0</v>
      </c>
      <c r="J9" s="30">
        <f t="shared" si="1"/>
        <v>0</v>
      </c>
      <c r="L9" s="23" t="e">
        <f>IF(#REF!=0,0,IF(#REF!&gt;'[1]Расчет нормативных затрат'!J$2/2,0,IF(#REF!&lt;'[1]Расчет нормативных затрат'!J$2/3,2,1)))</f>
        <v>#REF!</v>
      </c>
    </row>
    <row r="10" spans="1:12" x14ac:dyDescent="0.25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 t="shared" si="0"/>
        <v>0</v>
      </c>
      <c r="J10" s="30">
        <f t="shared" si="1"/>
        <v>0</v>
      </c>
      <c r="L10" s="23" t="e">
        <f>IF(#REF!=0,0,IF(#REF!&gt;'[1]Расчет нормативных затрат'!J$2/2,0,IF(#REF!&lt;'[1]Расчет нормативных затрат'!J$2/3,2,1)))</f>
        <v>#REF!</v>
      </c>
    </row>
    <row r="11" spans="1:12" x14ac:dyDescent="0.25">
      <c r="A11" s="3" t="s">
        <v>2</v>
      </c>
      <c r="B11" s="3"/>
      <c r="C11" s="3" t="s">
        <v>5</v>
      </c>
      <c r="D11" s="18"/>
      <c r="E11" s="18"/>
      <c r="F11" s="19"/>
      <c r="G11" s="19"/>
      <c r="H11" s="20"/>
      <c r="I11" s="4">
        <f t="shared" si="0"/>
        <v>0</v>
      </c>
      <c r="J11" s="30">
        <f t="shared" si="1"/>
        <v>0</v>
      </c>
      <c r="L11" s="23" t="e">
        <f>IF(#REF!=0,0,IF(#REF!&gt;'[1]Расчет нормативных затрат'!J$2/2,0,IF(#REF!&lt;'[1]Расчет нормативных затрат'!J$2/3,2,1)))</f>
        <v>#REF!</v>
      </c>
    </row>
    <row r="12" spans="1:12" x14ac:dyDescent="0.25">
      <c r="A12" s="3" t="s">
        <v>2</v>
      </c>
      <c r="B12" s="3"/>
      <c r="C12" s="3" t="s">
        <v>5</v>
      </c>
      <c r="D12" s="18"/>
      <c r="E12" s="18"/>
      <c r="F12" s="19"/>
      <c r="G12" s="19"/>
      <c r="H12" s="20"/>
      <c r="I12" s="4">
        <f t="shared" si="0"/>
        <v>0</v>
      </c>
      <c r="J12" s="30">
        <f t="shared" si="1"/>
        <v>0</v>
      </c>
      <c r="L12" s="23" t="e">
        <f>IF(#REF!=0,0,IF(#REF!&gt;'[1]Расчет нормативных затрат'!J$2/2,0,IF(#REF!&lt;'[1]Расчет нормативных затрат'!J$2/3,2,1)))</f>
        <v>#REF!</v>
      </c>
    </row>
    <row r="13" spans="1:12" x14ac:dyDescent="0.25">
      <c r="A13" s="3" t="s">
        <v>2</v>
      </c>
      <c r="B13" s="3"/>
      <c r="C13" s="3" t="s">
        <v>5</v>
      </c>
      <c r="D13" s="18"/>
      <c r="E13" s="18"/>
      <c r="F13" s="19"/>
      <c r="G13" s="19"/>
      <c r="H13" s="20"/>
      <c r="I13" s="4">
        <f t="shared" si="0"/>
        <v>0</v>
      </c>
      <c r="J13" s="30">
        <f t="shared" si="1"/>
        <v>0</v>
      </c>
      <c r="L13" s="23" t="e">
        <f>IF(#REF!=0,0,IF(#REF!&gt;'[1]Расчет нормативных затрат'!J$2/2,0,IF(#REF!&lt;'[1]Расчет нормативных затрат'!J$2/3,2,1)))</f>
        <v>#REF!</v>
      </c>
    </row>
    <row r="14" spans="1:12" x14ac:dyDescent="0.25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 t="shared" si="0"/>
        <v>0</v>
      </c>
      <c r="J14" s="30">
        <f t="shared" si="1"/>
        <v>0</v>
      </c>
      <c r="L14" s="23" t="e">
        <f>IF(#REF!=0,0,IF(#REF!&gt;'[1]Расчет нормативных затрат'!J$2/2,0,IF(#REF!&lt;'[1]Расчет нормативных затрат'!J$2/3,2,1)))</f>
        <v>#REF!</v>
      </c>
    </row>
    <row r="15" spans="1:12" x14ac:dyDescent="0.25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 t="shared" si="0"/>
        <v>0</v>
      </c>
      <c r="J15" s="30">
        <f t="shared" si="1"/>
        <v>0</v>
      </c>
      <c r="L15" s="23" t="e">
        <f>IF(#REF!=0,0,IF(#REF!&gt;'[1]Расчет нормативных затрат'!J$2/2,0,IF(#REF!&lt;'[1]Расчет нормативных затрат'!J$2/3,2,1)))</f>
        <v>#REF!</v>
      </c>
    </row>
    <row r="16" spans="1:12" x14ac:dyDescent="0.25">
      <c r="A16" s="3" t="s">
        <v>2</v>
      </c>
      <c r="B16" s="3"/>
      <c r="C16" s="3" t="s">
        <v>6</v>
      </c>
      <c r="D16" s="18"/>
      <c r="E16" s="18"/>
      <c r="F16" s="19"/>
      <c r="G16" s="19"/>
      <c r="H16" s="20"/>
      <c r="I16" s="4">
        <f t="shared" si="0"/>
        <v>0</v>
      </c>
      <c r="J16" s="30">
        <f t="shared" si="1"/>
        <v>0</v>
      </c>
      <c r="L16" s="23" t="e">
        <f>IF(#REF!=0,0,IF(#REF!&gt;'[1]Расчет нормативных затрат'!J$2/2,0,IF(#REF!&lt;'[1]Расчет нормативных затрат'!J$2/3,2,1)))</f>
        <v>#REF!</v>
      </c>
    </row>
    <row r="17" spans="1:12" x14ac:dyDescent="0.25">
      <c r="A17" s="3" t="s">
        <v>2</v>
      </c>
      <c r="B17" s="3"/>
      <c r="C17" s="3" t="s">
        <v>6</v>
      </c>
      <c r="D17" s="18"/>
      <c r="E17" s="18"/>
      <c r="F17" s="19"/>
      <c r="G17" s="19"/>
      <c r="H17" s="20"/>
      <c r="I17" s="4">
        <f t="shared" si="0"/>
        <v>0</v>
      </c>
      <c r="J17" s="30">
        <f t="shared" si="1"/>
        <v>0</v>
      </c>
      <c r="L17" s="23" t="e">
        <f>IF(#REF!=0,0,IF(#REF!&gt;'[1]Расчет нормативных затрат'!J$2/2,0,IF(#REF!&lt;'[1]Расчет нормативных затрат'!J$2/3,2,1)))</f>
        <v>#REF!</v>
      </c>
    </row>
    <row r="18" spans="1:12" x14ac:dyDescent="0.25">
      <c r="A18" s="3" t="s">
        <v>2</v>
      </c>
      <c r="B18" s="3"/>
      <c r="C18" s="3" t="s">
        <v>6</v>
      </c>
      <c r="D18" s="18"/>
      <c r="E18" s="18"/>
      <c r="F18" s="19"/>
      <c r="G18" s="19"/>
      <c r="H18" s="20"/>
      <c r="I18" s="4">
        <f t="shared" si="0"/>
        <v>0</v>
      </c>
      <c r="J18" s="30">
        <f t="shared" si="1"/>
        <v>0</v>
      </c>
      <c r="L18" s="23" t="e">
        <f>IF(#REF!=0,0,IF(#REF!&gt;'[1]Расчет нормативных затрат'!J$2/2,0,IF(#REF!&lt;'[1]Расчет нормативных затрат'!J$2/3,2,1)))</f>
        <v>#REF!</v>
      </c>
    </row>
    <row r="19" spans="1:12" x14ac:dyDescent="0.25">
      <c r="A19" s="3" t="s">
        <v>2</v>
      </c>
      <c r="B19" s="3"/>
      <c r="C19" s="3" t="s">
        <v>6</v>
      </c>
      <c r="D19" s="18"/>
      <c r="E19" s="18"/>
      <c r="F19" s="19"/>
      <c r="G19" s="19"/>
      <c r="H19" s="20"/>
      <c r="I19" s="4">
        <f t="shared" si="0"/>
        <v>0</v>
      </c>
      <c r="J19" s="30">
        <f t="shared" si="1"/>
        <v>0</v>
      </c>
      <c r="L19" s="23" t="e">
        <f>IF(#REF!=0,0,IF(#REF!&gt;'[1]Расчет нормативных затрат'!J$2/2,0,IF(#REF!&lt;'[1]Расчет нормативных затрат'!J$2/3,2,1)))</f>
        <v>#REF!</v>
      </c>
    </row>
    <row r="20" spans="1:12" x14ac:dyDescent="0.25">
      <c r="A20" s="3" t="s">
        <v>2</v>
      </c>
      <c r="B20" s="3"/>
      <c r="C20" s="3" t="s">
        <v>6</v>
      </c>
      <c r="D20" s="18"/>
      <c r="E20" s="18"/>
      <c r="F20" s="19"/>
      <c r="G20" s="19"/>
      <c r="H20" s="20"/>
      <c r="I20" s="4">
        <f t="shared" si="0"/>
        <v>0</v>
      </c>
      <c r="J20" s="30">
        <f t="shared" si="1"/>
        <v>0</v>
      </c>
      <c r="L20" s="23" t="e">
        <f>IF(#REF!=0,0,IF(#REF!&gt;'[1]Расчет нормативных затрат'!J$2/2,0,IF(#REF!&lt;'[1]Расчет нормативных затрат'!J$2/3,2,1)))</f>
        <v>#REF!</v>
      </c>
    </row>
    <row r="21" spans="1:12" x14ac:dyDescent="0.25">
      <c r="A21" s="3" t="s">
        <v>2</v>
      </c>
      <c r="B21" s="3"/>
      <c r="C21" s="3" t="s">
        <v>6</v>
      </c>
      <c r="D21" s="18"/>
      <c r="E21" s="18"/>
      <c r="F21" s="19"/>
      <c r="G21" s="19"/>
      <c r="H21" s="20"/>
      <c r="I21" s="4">
        <f t="shared" si="0"/>
        <v>0</v>
      </c>
      <c r="J21" s="30">
        <f t="shared" si="1"/>
        <v>0</v>
      </c>
      <c r="L21" s="23" t="e">
        <f>IF(#REF!=0,0,IF(#REF!&gt;'[1]Расчет нормативных затрат'!J$2/2,0,IF(#REF!&lt;'[1]Расчет нормативных затрат'!J$2/3,2,1)))</f>
        <v>#REF!</v>
      </c>
    </row>
    <row r="22" spans="1:12" x14ac:dyDescent="0.25">
      <c r="A22" s="3" t="s">
        <v>2</v>
      </c>
      <c r="B22" s="3"/>
      <c r="C22" s="3" t="s">
        <v>6</v>
      </c>
      <c r="D22" s="18"/>
      <c r="E22" s="18"/>
      <c r="F22" s="19"/>
      <c r="G22" s="19"/>
      <c r="H22" s="20"/>
      <c r="I22" s="4">
        <f t="shared" si="0"/>
        <v>0</v>
      </c>
      <c r="J22" s="30">
        <f t="shared" si="1"/>
        <v>0</v>
      </c>
      <c r="L22" s="23" t="e">
        <f>IF(#REF!=0,0,IF(#REF!&gt;'[1]Расчет нормативных затрат'!J$2/2,0,IF(#REF!&lt;'[1]Расчет нормативных затрат'!J$2/3,2,1)))</f>
        <v>#REF!</v>
      </c>
    </row>
    <row r="23" spans="1:12" x14ac:dyDescent="0.25">
      <c r="A23" s="147"/>
      <c r="B23" s="147"/>
      <c r="C23" s="147"/>
      <c r="D23" s="147"/>
      <c r="E23" s="147"/>
      <c r="F23" s="147"/>
      <c r="G23" s="6">
        <f>SUM(G2:G22)</f>
        <v>0</v>
      </c>
      <c r="H23" s="7" t="s">
        <v>30</v>
      </c>
      <c r="I23" s="31">
        <f>SUM(I2:I22)</f>
        <v>0</v>
      </c>
      <c r="J23" s="32">
        <f>SUM(J2:J22)</f>
        <v>0</v>
      </c>
    </row>
    <row r="24" spans="1:12" x14ac:dyDescent="0.25">
      <c r="G24" s="17"/>
    </row>
    <row r="25" spans="1:12" x14ac:dyDescent="0.25">
      <c r="I25" s="21"/>
      <c r="J25" s="21"/>
    </row>
  </sheetData>
  <mergeCells count="1">
    <mergeCell ref="A23:F23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D48EB9-38C6-4C12-8510-E3C919192311}">
          <x14:formula1>
            <xm:f>'Параметры ПФ'!$F$8:$K$8</xm:f>
          </x14:formula1>
          <xm:sqref>C2:C22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7A52B-3ED0-4718-87FA-02135D8D2E0C}">
  <dimension ref="A1:P19"/>
  <sheetViews>
    <sheetView view="pageBreakPreview" zoomScaleSheetLayoutView="100" workbookViewId="0">
      <selection activeCell="F12" sqref="F12"/>
    </sheetView>
  </sheetViews>
  <sheetFormatPr defaultColWidth="10.25" defaultRowHeight="12.75" x14ac:dyDescent="0.2"/>
  <cols>
    <col min="1" max="1" width="3.25" style="111" customWidth="1"/>
    <col min="2" max="2" width="24.5" style="107" customWidth="1"/>
    <col min="3" max="3" width="19.75" style="107" customWidth="1"/>
    <col min="4" max="4" width="10.25" style="111" customWidth="1"/>
    <col min="5" max="11" width="11.75" style="111" customWidth="1"/>
    <col min="12" max="12" width="9.375" style="111" bestFit="1" customWidth="1"/>
    <col min="13" max="13" width="11" style="111" bestFit="1" customWidth="1"/>
    <col min="14" max="14" width="9.625" style="107" bestFit="1" customWidth="1"/>
    <col min="15" max="15" width="13.5" style="107" customWidth="1"/>
    <col min="16" max="16" width="12.75" style="107" customWidth="1"/>
    <col min="17" max="16384" width="10.25" style="107"/>
  </cols>
  <sheetData>
    <row r="1" spans="1:16" ht="33.75" customHeight="1" x14ac:dyDescent="0.2">
      <c r="A1" s="150" t="s">
        <v>97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P1" s="108" t="s">
        <v>98</v>
      </c>
    </row>
    <row r="2" spans="1:16" s="111" customFormat="1" ht="76.5" customHeight="1" x14ac:dyDescent="0.2">
      <c r="A2" s="151" t="s">
        <v>99</v>
      </c>
      <c r="B2" s="151"/>
      <c r="C2" s="109" t="s">
        <v>100</v>
      </c>
      <c r="D2" s="110" t="s">
        <v>101</v>
      </c>
      <c r="E2" s="110" t="s">
        <v>102</v>
      </c>
      <c r="F2" s="110" t="s">
        <v>103</v>
      </c>
      <c r="G2" s="110" t="s">
        <v>104</v>
      </c>
      <c r="H2" s="110" t="s">
        <v>105</v>
      </c>
      <c r="I2" s="110" t="s">
        <v>106</v>
      </c>
      <c r="J2" s="110" t="s">
        <v>107</v>
      </c>
      <c r="K2" s="110" t="s">
        <v>108</v>
      </c>
      <c r="L2" s="110" t="s">
        <v>109</v>
      </c>
      <c r="M2" s="110" t="s">
        <v>110</v>
      </c>
      <c r="N2" s="110" t="s">
        <v>111</v>
      </c>
      <c r="O2" s="110" t="s">
        <v>112</v>
      </c>
      <c r="P2" s="110" t="s">
        <v>16</v>
      </c>
    </row>
    <row r="3" spans="1:16" s="116" customFormat="1" ht="23.25" customHeight="1" x14ac:dyDescent="0.25">
      <c r="A3" s="112">
        <v>1</v>
      </c>
      <c r="B3" s="68"/>
      <c r="C3" s="68"/>
      <c r="D3" s="113">
        <v>55555</v>
      </c>
      <c r="E3" s="113">
        <v>55555</v>
      </c>
      <c r="F3" s="113">
        <v>55555</v>
      </c>
      <c r="G3" s="113">
        <v>55555</v>
      </c>
      <c r="H3" s="113">
        <v>55555</v>
      </c>
      <c r="I3" s="113">
        <v>55555</v>
      </c>
      <c r="J3" s="113">
        <v>55555</v>
      </c>
      <c r="K3" s="113">
        <v>55555</v>
      </c>
      <c r="L3" s="113">
        <v>55555</v>
      </c>
      <c r="M3" s="113">
        <v>55555</v>
      </c>
      <c r="N3" s="114">
        <f>SUM(D3:M3)</f>
        <v>555550</v>
      </c>
      <c r="O3" s="115">
        <v>55555</v>
      </c>
      <c r="P3" s="114" t="s">
        <v>30</v>
      </c>
    </row>
    <row r="4" spans="1:16" s="116" customFormat="1" ht="23.25" customHeight="1" x14ac:dyDescent="0.25">
      <c r="A4" s="112">
        <v>2</v>
      </c>
      <c r="B4" s="68"/>
      <c r="C4" s="68"/>
      <c r="D4" s="113">
        <v>0</v>
      </c>
      <c r="E4" s="113">
        <v>0</v>
      </c>
      <c r="F4" s="113">
        <v>0</v>
      </c>
      <c r="G4" s="113">
        <v>0</v>
      </c>
      <c r="H4" s="113">
        <v>0</v>
      </c>
      <c r="I4" s="113">
        <v>0</v>
      </c>
      <c r="J4" s="113">
        <v>0</v>
      </c>
      <c r="K4" s="113">
        <v>0</v>
      </c>
      <c r="L4" s="113">
        <v>0</v>
      </c>
      <c r="M4" s="113">
        <v>0</v>
      </c>
      <c r="N4" s="114">
        <f>SUM(D4:M4)</f>
        <v>0</v>
      </c>
      <c r="O4" s="115">
        <v>0</v>
      </c>
      <c r="P4" s="114" t="s">
        <v>30</v>
      </c>
    </row>
    <row r="5" spans="1:16" s="118" customFormat="1" ht="23.25" customHeight="1" x14ac:dyDescent="0.25">
      <c r="A5" s="112">
        <v>3</v>
      </c>
      <c r="B5" s="68"/>
      <c r="C5" s="68"/>
      <c r="D5" s="113">
        <v>0</v>
      </c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13">
        <v>0</v>
      </c>
      <c r="K5" s="113">
        <v>0</v>
      </c>
      <c r="L5" s="113">
        <v>0</v>
      </c>
      <c r="M5" s="113">
        <v>0</v>
      </c>
      <c r="N5" s="114">
        <f>SUM(D5:M5)</f>
        <v>0</v>
      </c>
      <c r="O5" s="115">
        <v>0</v>
      </c>
      <c r="P5" s="117" t="s">
        <v>30</v>
      </c>
    </row>
    <row r="6" spans="1:16" s="119" customFormat="1" ht="23.25" customHeight="1" x14ac:dyDescent="0.25">
      <c r="A6" s="112">
        <v>3</v>
      </c>
      <c r="B6" s="68"/>
      <c r="C6" s="68"/>
      <c r="D6" s="113">
        <v>0</v>
      </c>
      <c r="E6" s="113">
        <v>0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4">
        <f t="shared" ref="N6:N17" si="0">SUM(D6:M6)</f>
        <v>0</v>
      </c>
      <c r="O6" s="115">
        <v>0</v>
      </c>
      <c r="P6" s="117" t="s">
        <v>30</v>
      </c>
    </row>
    <row r="7" spans="1:16" ht="23.25" customHeight="1" x14ac:dyDescent="0.25">
      <c r="A7" s="112">
        <v>3</v>
      </c>
      <c r="B7" s="68"/>
      <c r="C7" s="68"/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4">
        <f t="shared" si="0"/>
        <v>0</v>
      </c>
      <c r="O7" s="115">
        <v>0</v>
      </c>
      <c r="P7" s="117" t="s">
        <v>30</v>
      </c>
    </row>
    <row r="8" spans="1:16" ht="23.25" customHeight="1" x14ac:dyDescent="0.25">
      <c r="A8" s="112">
        <v>3</v>
      </c>
      <c r="B8" s="68"/>
      <c r="C8" s="68"/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4">
        <f t="shared" si="0"/>
        <v>0</v>
      </c>
      <c r="O8" s="115">
        <v>0</v>
      </c>
      <c r="P8" s="117" t="s">
        <v>30</v>
      </c>
    </row>
    <row r="9" spans="1:16" ht="23.25" customHeight="1" x14ac:dyDescent="0.25">
      <c r="A9" s="112">
        <v>3</v>
      </c>
      <c r="B9" s="68"/>
      <c r="C9" s="68"/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4">
        <f t="shared" si="0"/>
        <v>0</v>
      </c>
      <c r="O9" s="115">
        <v>0</v>
      </c>
      <c r="P9" s="117" t="s">
        <v>30</v>
      </c>
    </row>
    <row r="10" spans="1:16" s="116" customFormat="1" ht="23.25" customHeight="1" x14ac:dyDescent="0.25">
      <c r="A10" s="112">
        <v>3</v>
      </c>
      <c r="B10" s="68"/>
      <c r="C10" s="68"/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4">
        <f t="shared" si="0"/>
        <v>0</v>
      </c>
      <c r="O10" s="115">
        <v>0</v>
      </c>
      <c r="P10" s="117" t="s">
        <v>30</v>
      </c>
    </row>
    <row r="11" spans="1:16" s="120" customFormat="1" ht="23.25" customHeight="1" x14ac:dyDescent="0.25">
      <c r="A11" s="112">
        <v>3</v>
      </c>
      <c r="B11" s="68"/>
      <c r="C11" s="68"/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4">
        <f t="shared" si="0"/>
        <v>0</v>
      </c>
      <c r="O11" s="115">
        <v>0</v>
      </c>
      <c r="P11" s="117" t="s">
        <v>30</v>
      </c>
    </row>
    <row r="12" spans="1:16" s="120" customFormat="1" ht="23.25" customHeight="1" x14ac:dyDescent="0.25">
      <c r="A12" s="112">
        <v>3</v>
      </c>
      <c r="B12" s="68"/>
      <c r="C12" s="68"/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4">
        <f t="shared" si="0"/>
        <v>0</v>
      </c>
      <c r="O12" s="115">
        <v>0</v>
      </c>
      <c r="P12" s="117" t="s">
        <v>30</v>
      </c>
    </row>
    <row r="13" spans="1:16" s="120" customFormat="1" ht="23.25" customHeight="1" x14ac:dyDescent="0.25">
      <c r="A13" s="112">
        <v>3</v>
      </c>
      <c r="B13" s="68"/>
      <c r="C13" s="68"/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4">
        <f t="shared" si="0"/>
        <v>0</v>
      </c>
      <c r="O13" s="115">
        <v>0</v>
      </c>
      <c r="P13" s="117" t="s">
        <v>30</v>
      </c>
    </row>
    <row r="14" spans="1:16" s="120" customFormat="1" ht="23.25" customHeight="1" x14ac:dyDescent="0.25">
      <c r="A14" s="112">
        <v>3</v>
      </c>
      <c r="B14" s="68"/>
      <c r="C14" s="68"/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4">
        <f t="shared" si="0"/>
        <v>0</v>
      </c>
      <c r="O14" s="115">
        <v>0</v>
      </c>
      <c r="P14" s="117" t="s">
        <v>30</v>
      </c>
    </row>
    <row r="15" spans="1:16" ht="23.25" customHeight="1" x14ac:dyDescent="0.25">
      <c r="A15" s="112">
        <v>3</v>
      </c>
      <c r="B15" s="68"/>
      <c r="C15" s="68"/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4">
        <f t="shared" si="0"/>
        <v>0</v>
      </c>
      <c r="O15" s="115">
        <v>0</v>
      </c>
      <c r="P15" s="117" t="s">
        <v>30</v>
      </c>
    </row>
    <row r="16" spans="1:16" ht="23.25" customHeight="1" x14ac:dyDescent="0.25">
      <c r="A16" s="112">
        <v>3</v>
      </c>
      <c r="B16" s="68"/>
      <c r="C16" s="68"/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4">
        <f t="shared" si="0"/>
        <v>0</v>
      </c>
      <c r="O16" s="115">
        <v>0</v>
      </c>
      <c r="P16" s="117" t="s">
        <v>30</v>
      </c>
    </row>
    <row r="17" spans="1:16" ht="23.25" customHeight="1" thickBot="1" x14ac:dyDescent="0.3">
      <c r="A17" s="112">
        <v>3</v>
      </c>
      <c r="B17" s="68"/>
      <c r="C17" s="68"/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4">
        <f t="shared" si="0"/>
        <v>0</v>
      </c>
      <c r="O17" s="115">
        <v>0</v>
      </c>
      <c r="P17" s="117" t="s">
        <v>30</v>
      </c>
    </row>
    <row r="18" spans="1:16" s="111" customFormat="1" ht="15" customHeight="1" thickBot="1" x14ac:dyDescent="0.25">
      <c r="A18" s="152" t="s">
        <v>113</v>
      </c>
      <c r="B18" s="152"/>
      <c r="C18" s="121"/>
      <c r="D18" s="122">
        <f>SUM(D3:D17)</f>
        <v>55555</v>
      </c>
      <c r="E18" s="122">
        <f t="shared" ref="E18:N18" si="1">SUM(E3:E17)</f>
        <v>55555</v>
      </c>
      <c r="F18" s="122">
        <f t="shared" si="1"/>
        <v>55555</v>
      </c>
      <c r="G18" s="122">
        <f t="shared" si="1"/>
        <v>55555</v>
      </c>
      <c r="H18" s="122">
        <f t="shared" si="1"/>
        <v>55555</v>
      </c>
      <c r="I18" s="122">
        <f t="shared" si="1"/>
        <v>55555</v>
      </c>
      <c r="J18" s="122">
        <f t="shared" si="1"/>
        <v>55555</v>
      </c>
      <c r="K18" s="122">
        <f t="shared" si="1"/>
        <v>55555</v>
      </c>
      <c r="L18" s="122">
        <f t="shared" si="1"/>
        <v>55555</v>
      </c>
      <c r="M18" s="122">
        <f t="shared" si="1"/>
        <v>55555</v>
      </c>
      <c r="N18" s="122">
        <f t="shared" si="1"/>
        <v>555550</v>
      </c>
      <c r="O18" s="123">
        <f>SUM(O3:O17)</f>
        <v>55555</v>
      </c>
      <c r="P18" s="124">
        <f>N18/O18</f>
        <v>10</v>
      </c>
    </row>
    <row r="19" spans="1:16" x14ac:dyDescent="0.2">
      <c r="B19" s="125"/>
      <c r="C19" s="125"/>
    </row>
  </sheetData>
  <mergeCells count="3">
    <mergeCell ref="A1:M1"/>
    <mergeCell ref="A2:B2"/>
    <mergeCell ref="A18:B18"/>
  </mergeCells>
  <pageMargins left="0.11811023622047245" right="0.11811023622047245" top="0.74803149606299213" bottom="0.74803149606299213" header="0.31496062992125984" footer="0.31496062992125984"/>
  <pageSetup paperSize="9" scale="5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Параметры ПФ</vt:lpstr>
      <vt:lpstr>Стандартные программы</vt:lpstr>
      <vt:lpstr>Дистанционные программы</vt:lpstr>
      <vt:lpstr>Очно-заочные программы</vt:lpstr>
      <vt:lpstr>Адаптированные программы</vt:lpstr>
      <vt:lpstr>Общеразвив.программы на МЗ</vt:lpstr>
      <vt:lpstr>Затраты на содержание УДО</vt:lpstr>
      <vt:lpstr>'Затраты на содержание УДО'!Заголовки_для_печати</vt:lpstr>
      <vt:lpstr>'Затраты на содержание УДО'!Область_печати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2021-09-17T08:08:01Z</cp:lastPrinted>
  <dcterms:created xsi:type="dcterms:W3CDTF">2019-03-03T02:50:35Z</dcterms:created>
  <dcterms:modified xsi:type="dcterms:W3CDTF">2023-03-27T11:29:59Z</dcterms:modified>
</cp:coreProperties>
</file>